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4" activeTab="0"/>
  </bookViews>
  <sheets>
    <sheet name="ЯМЗ1_2" sheetId="1" r:id="rId1"/>
  </sheets>
  <definedNames>
    <definedName name="_xlnm.Print_Area" localSheetId="0">'ЯМЗ1_2'!$A$1:$J$135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1_1">#REF!</definedName>
    <definedName name="Excel_BuiltIn_Print_Area_2">#REF!</definedName>
    <definedName name="Excel_BuiltIn_Print_Area_20">#REF!</definedName>
    <definedName name="Excel_BuiltIn_Print_Area_20_11">#REF!</definedName>
    <definedName name="Excel_BuiltIn_Print_Area_21">#REF!</definedName>
    <definedName name="Excel_BuiltIn_Print_Area_2_1">#REF!</definedName>
    <definedName name="Excel_BuiltIn_Print_Area_3">#REF!</definedName>
    <definedName name="Excel_BuiltIn_Print_Area_4">#REF!</definedName>
    <definedName name="Excel_BuiltIn_Print_Area_4_1">#REF!</definedName>
    <definedName name="Excel_BuiltIn_Print_Area_5">#REF!</definedName>
    <definedName name="Excel_BuiltIn_Print_Area_5_6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8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<sst xmlns="http://schemas.openxmlformats.org/spreadsheetml/2006/main" count="409" uniqueCount="325">
  <si>
    <t xml:space="preserve">   ОАО "Ярославский завод резиновых технических изделий"</t>
  </si>
  <si>
    <t>150003, Россия, г. Ярославль, ул. Советская, 81а, ИНН 7601000632, КПП 760650001</t>
  </si>
  <si>
    <t xml:space="preserve"> Тел. (4852) 58-43-35;   Факс (4852) 73-93-09</t>
  </si>
  <si>
    <t>E-mail: smirnova-ao@rti.yaroslavl.ru</t>
  </si>
  <si>
    <t>Резиновые детали для двигателей производства ОАО «Автодизель», ОАО «ТМЗ» и топливных насосов производства ОАО «ЯЗДА».</t>
  </si>
  <si>
    <t>Цены действительны с 15.04.2014г.</t>
  </si>
  <si>
    <t>№ по каталогу</t>
  </si>
  <si>
    <t>Наименование</t>
  </si>
  <si>
    <t>Цена с НДС</t>
  </si>
  <si>
    <t>Цена без НДС</t>
  </si>
  <si>
    <t>ТМ***</t>
  </si>
  <si>
    <t xml:space="preserve">Группа 10.Двигатель. </t>
  </si>
  <si>
    <t>1014-Вентиляция картера(Сапун)</t>
  </si>
  <si>
    <t>1002 - блок цилиндров</t>
  </si>
  <si>
    <t>240-1014138</t>
  </si>
  <si>
    <t>Патрубок</t>
  </si>
  <si>
    <t>236-1002040 А</t>
  </si>
  <si>
    <t>Кольцо антикавитацион.</t>
  </si>
  <si>
    <t>658.1014214-01</t>
  </si>
  <si>
    <t>Мембрана</t>
  </si>
  <si>
    <t>236-1002023</t>
  </si>
  <si>
    <t>Кольцо уплотнительное</t>
  </si>
  <si>
    <t>840-1014136</t>
  </si>
  <si>
    <t>Прокладка крышки</t>
  </si>
  <si>
    <t>236-1002024А</t>
  </si>
  <si>
    <t>8423-1014138</t>
  </si>
  <si>
    <t>Прокладка</t>
  </si>
  <si>
    <t>840-1002040</t>
  </si>
  <si>
    <t>1017-Масляный фильтр</t>
  </si>
  <si>
    <t>1003 - головка цилиндров</t>
  </si>
  <si>
    <t>201-1017122Б</t>
  </si>
  <si>
    <t xml:space="preserve">Кольцо </t>
  </si>
  <si>
    <t>236-1003114В</t>
  </si>
  <si>
    <t>238Н-1017152</t>
  </si>
  <si>
    <t>Скоба</t>
  </si>
  <si>
    <t>236-1003270</t>
  </si>
  <si>
    <t>238Н-1017318</t>
  </si>
  <si>
    <t>Кольцо (018-022-25-2-1)</t>
  </si>
  <si>
    <t>238-1003270</t>
  </si>
  <si>
    <t>238НБ-1017045Б2</t>
  </si>
  <si>
    <t>Чашка уплотнительная</t>
  </si>
  <si>
    <t>238Д-1003214Б</t>
  </si>
  <si>
    <t>Уплотнитель(фтор)</t>
  </si>
  <si>
    <t>240-1017122 Б</t>
  </si>
  <si>
    <t>Прокладка упл.</t>
  </si>
  <si>
    <t>238Д-1003215Б</t>
  </si>
  <si>
    <t>Уплотнитель</t>
  </si>
  <si>
    <t>240-1017122 А</t>
  </si>
  <si>
    <t>238Д-1003500</t>
  </si>
  <si>
    <t>240-1017298</t>
  </si>
  <si>
    <t>Втулка</t>
  </si>
  <si>
    <t>238Д-1003523Б</t>
  </si>
  <si>
    <t>1022-Электрофакельное устройство</t>
  </si>
  <si>
    <t>238Д-1003524</t>
  </si>
  <si>
    <t>240Н-1022860</t>
  </si>
  <si>
    <t>Аммортизатор</t>
  </si>
  <si>
    <t>240-1003036</t>
  </si>
  <si>
    <t>840-1022860</t>
  </si>
  <si>
    <t>240-1003213</t>
  </si>
  <si>
    <t>Прокладка  ГБЦ</t>
  </si>
  <si>
    <t>1028-Маслоочиститель</t>
  </si>
  <si>
    <t>240-1003270</t>
  </si>
  <si>
    <t>236-1028246</t>
  </si>
  <si>
    <t>кол упл. (ЯМЗ 8421-8424)</t>
  </si>
  <si>
    <t>7511-1003213</t>
  </si>
  <si>
    <t xml:space="preserve">Прокладка ГБЦ  </t>
  </si>
  <si>
    <t>236-1029240А</t>
  </si>
  <si>
    <t>Манжета с пружиной</t>
  </si>
  <si>
    <t>840-1003213-02</t>
  </si>
  <si>
    <t>Прокладка ГБЦ</t>
  </si>
  <si>
    <t>236-1029244А(40)</t>
  </si>
  <si>
    <t>Манжета (24*46*14*14)</t>
  </si>
  <si>
    <t>1005 - Коленчатый вал и маховик</t>
  </si>
  <si>
    <t>236-1029240-Б</t>
  </si>
  <si>
    <t>201-1005033Б6/34Б3</t>
  </si>
  <si>
    <t>Манжета(64*95*13*11)</t>
  </si>
  <si>
    <t>236-1029244Б</t>
  </si>
  <si>
    <t>Манжета (30*56)</t>
  </si>
  <si>
    <t>201-1005033Б6/34Б5</t>
  </si>
  <si>
    <t>Манжета</t>
  </si>
  <si>
    <t>238Б-1029440 (38)</t>
  </si>
  <si>
    <t>Манжета (фтор) 34*50*7</t>
  </si>
  <si>
    <t>201-1005034-Б3</t>
  </si>
  <si>
    <t>238Б-1029244 (40)</t>
  </si>
  <si>
    <t>Манж. (фтор) 38*56*10*10</t>
  </si>
  <si>
    <t>236-1005160-А2</t>
  </si>
  <si>
    <t>238Б-1029244Б</t>
  </si>
  <si>
    <t>Манжета ( 41*56*7)</t>
  </si>
  <si>
    <t>236-1005161А4/60А2</t>
  </si>
  <si>
    <t>Манжета(140*170*13*13)</t>
  </si>
  <si>
    <t xml:space="preserve">Группа 11. Система питания. </t>
  </si>
  <si>
    <t>238АК-1005227</t>
  </si>
  <si>
    <t>Манжета (105*130*12)</t>
  </si>
  <si>
    <t>1104-Топливные трубопроводы</t>
  </si>
  <si>
    <t>238АК-1005514-10</t>
  </si>
  <si>
    <t>236-1104274</t>
  </si>
  <si>
    <t>Профиль (кг)</t>
  </si>
  <si>
    <t>240-1005576</t>
  </si>
  <si>
    <t>236-1104276</t>
  </si>
  <si>
    <t>240-1005582-Б</t>
  </si>
  <si>
    <t>240-1104336-Б</t>
  </si>
  <si>
    <t>240-1005586</t>
  </si>
  <si>
    <t>240-1104344А</t>
  </si>
  <si>
    <t>840-1005688</t>
  </si>
  <si>
    <t>Колпачок</t>
  </si>
  <si>
    <t>240-1104350</t>
  </si>
  <si>
    <t>1007 - Клапаны и толкатели</t>
  </si>
  <si>
    <t>7511-1104344</t>
  </si>
  <si>
    <t>236-1007262</t>
  </si>
  <si>
    <t>Манжета с пруж и обж. Кол.</t>
  </si>
  <si>
    <t>840-1104446</t>
  </si>
  <si>
    <t>840-1007258</t>
  </si>
  <si>
    <t>840-1104514</t>
  </si>
  <si>
    <t>1009 - Поддон блока цилиндров</t>
  </si>
  <si>
    <t>1105-Фильтр грубой очистки топлива</t>
  </si>
  <si>
    <t>236-1009056В3</t>
  </si>
  <si>
    <t>201-1105552-А</t>
  </si>
  <si>
    <t>840-1009140</t>
  </si>
  <si>
    <t>1106-Насос топливоподкачивающий</t>
  </si>
  <si>
    <t>1011-Масляный насос</t>
  </si>
  <si>
    <t>236-1106306А</t>
  </si>
  <si>
    <t>Кольцо</t>
  </si>
  <si>
    <t>240Н-1011449</t>
  </si>
  <si>
    <t>236-1106306Б</t>
  </si>
  <si>
    <t>240Н-1011278</t>
  </si>
  <si>
    <t>Кольцо (025-031-36-2-1)</t>
  </si>
  <si>
    <t>236-1106342</t>
  </si>
  <si>
    <t>Колпачок защитный</t>
  </si>
  <si>
    <t>1012-Фильтр грубой очистки масла</t>
  </si>
  <si>
    <t>236-1106380</t>
  </si>
  <si>
    <t>Кольцо (016-020-25)</t>
  </si>
  <si>
    <t>201-1012083</t>
  </si>
  <si>
    <t>33.1106377</t>
  </si>
  <si>
    <t xml:space="preserve">Прокладка </t>
  </si>
  <si>
    <t>236-1012178</t>
  </si>
  <si>
    <t>Заглушка</t>
  </si>
  <si>
    <t>33.1106920-03</t>
  </si>
  <si>
    <t>Чехол</t>
  </si>
  <si>
    <t>840-1012052-10</t>
  </si>
  <si>
    <t>Прокладка элемента</t>
  </si>
  <si>
    <t>840-1012083-10</t>
  </si>
  <si>
    <t>Кольцо(125*4,5*4,5-2б)</t>
  </si>
  <si>
    <t>840-1012298-10</t>
  </si>
  <si>
    <t>1013-Водомасляный радиатор</t>
  </si>
  <si>
    <t>8401-1013700</t>
  </si>
  <si>
    <t>Сетка в сборе</t>
  </si>
  <si>
    <t>1109-Воздушный фильтр</t>
  </si>
  <si>
    <t>1305-Сливной кран</t>
  </si>
  <si>
    <t>236-1109045А</t>
  </si>
  <si>
    <t>240-1305025</t>
  </si>
  <si>
    <t>Клапан</t>
  </si>
  <si>
    <t>236-1109120</t>
  </si>
  <si>
    <t>240-1305036</t>
  </si>
  <si>
    <t>236Н-1109030</t>
  </si>
  <si>
    <t>1306-Термостат системы охлаждения</t>
  </si>
  <si>
    <t>236Н-1109448</t>
  </si>
  <si>
    <t>658.1306054</t>
  </si>
  <si>
    <t>Прокладка термостата</t>
  </si>
  <si>
    <t>236Н-1109577</t>
  </si>
  <si>
    <t>1307-Водяной насос</t>
  </si>
  <si>
    <t>240Н-1109414</t>
  </si>
  <si>
    <t>Прокладка заборника</t>
  </si>
  <si>
    <t>201-1307061А</t>
  </si>
  <si>
    <t>Сальник фланца</t>
  </si>
  <si>
    <t>240Н-1109416</t>
  </si>
  <si>
    <t>236-1307266</t>
  </si>
  <si>
    <t>заглушка</t>
  </si>
  <si>
    <t>8421-1109030</t>
  </si>
  <si>
    <t>236-1307268Б</t>
  </si>
  <si>
    <t>8421-1109577</t>
  </si>
  <si>
    <t>240-1307038</t>
  </si>
  <si>
    <t>38*5*5-2Б</t>
  </si>
  <si>
    <t>240-1307090</t>
  </si>
  <si>
    <t>Группа 11. Системы питания</t>
  </si>
  <si>
    <t>240-1307091А(90)</t>
  </si>
  <si>
    <t>Манжета (25*42*10*10)</t>
  </si>
  <si>
    <t>1110-Регулятор частоты вращения</t>
  </si>
  <si>
    <t>840-1307038</t>
  </si>
  <si>
    <t>236-1110394</t>
  </si>
  <si>
    <t>Кольцо (010-014-25-2-2)</t>
  </si>
  <si>
    <t>850-1307062</t>
  </si>
  <si>
    <t>236-1110479</t>
  </si>
  <si>
    <t>Кольцо (016-020-25-2-1)</t>
  </si>
  <si>
    <t>850-1307042-10</t>
  </si>
  <si>
    <t>236-1110482</t>
  </si>
  <si>
    <t>Кольцо (012-017-30-2-2)</t>
  </si>
  <si>
    <t>1308-Вентилятор</t>
  </si>
  <si>
    <t>236-1110517Б2</t>
  </si>
  <si>
    <t>Сухарь вед. шестерни</t>
  </si>
  <si>
    <t>236-1308090В2</t>
  </si>
  <si>
    <t>Муфта</t>
  </si>
  <si>
    <t>240Н-1110878</t>
  </si>
  <si>
    <t>Диафрагма корректора</t>
  </si>
  <si>
    <t>Группа 16. Сцепление</t>
  </si>
  <si>
    <t>1111 -Топливный насос.</t>
  </si>
  <si>
    <t>1601-Сцепление</t>
  </si>
  <si>
    <t>236-1111052</t>
  </si>
  <si>
    <t>кольцо</t>
  </si>
  <si>
    <t>238Н-1601042</t>
  </si>
  <si>
    <t>Кольцо уплот. сальника</t>
  </si>
  <si>
    <t>33.1111054</t>
  </si>
  <si>
    <t>кольцо (16,5*2,4)</t>
  </si>
  <si>
    <t>Группа 17. Коробка передач</t>
  </si>
  <si>
    <t>33.1111058</t>
  </si>
  <si>
    <t>Кольцо (008-011-19-2)</t>
  </si>
  <si>
    <t>1701-Коробка передач</t>
  </si>
  <si>
    <t xml:space="preserve">33.1111069 </t>
  </si>
  <si>
    <t>кольцо (26,2*2,4)</t>
  </si>
  <si>
    <t>210-1701210-А</t>
  </si>
  <si>
    <t>33.1111069-10</t>
  </si>
  <si>
    <t>Кольцо(26,2*2,4) зеленое</t>
  </si>
  <si>
    <t>210-1701211А3(10А)</t>
  </si>
  <si>
    <t>Манжета (70*92*16*16)</t>
  </si>
  <si>
    <t>236-1111196</t>
  </si>
  <si>
    <t>Кольцо (054-058-25-2-2)</t>
  </si>
  <si>
    <t>210-1701230</t>
  </si>
  <si>
    <t>236-1111245</t>
  </si>
  <si>
    <t>210-1701233А3(30)</t>
  </si>
  <si>
    <t>Манжета (38*60*10*10)</t>
  </si>
  <si>
    <t>33.1111259-02</t>
  </si>
  <si>
    <t>кольцо (17,5*1,9)</t>
  </si>
  <si>
    <t>236-1701230</t>
  </si>
  <si>
    <t>33.1111259-10</t>
  </si>
  <si>
    <t>Кольцо (17,5*1,9) зеленое</t>
  </si>
  <si>
    <t>236-1701233А2(30)</t>
  </si>
  <si>
    <t>Манжета (42*64*10*10)</t>
  </si>
  <si>
    <t>236М-1111083А</t>
  </si>
  <si>
    <t>1702-Механизм переключения передач</t>
  </si>
  <si>
    <t>236М-1111083-А2</t>
  </si>
  <si>
    <t>Кольцо уплотнительное зеленое</t>
  </si>
  <si>
    <t>236У-1702133</t>
  </si>
  <si>
    <t>Колпак защитный</t>
  </si>
  <si>
    <t xml:space="preserve">175-1111164 </t>
  </si>
  <si>
    <t>Кольцо (021-025-25)</t>
  </si>
  <si>
    <t>1708- Демульттипликатор</t>
  </si>
  <si>
    <t>175-1111164-01</t>
  </si>
  <si>
    <t>Кольцо (021-025-25) зеленое</t>
  </si>
  <si>
    <t>201-1708304</t>
  </si>
  <si>
    <t>175-1111165</t>
  </si>
  <si>
    <t>Кольцо (032-036-25)</t>
  </si>
  <si>
    <t>201-1708306</t>
  </si>
  <si>
    <t>175-1111165-01</t>
  </si>
  <si>
    <t>Кольцо(032-036-25) зеленое</t>
  </si>
  <si>
    <t>239-1708307</t>
  </si>
  <si>
    <t>175-1111166-01</t>
  </si>
  <si>
    <t>Кольцо(024-028-25) зеленое</t>
  </si>
  <si>
    <t>1721-Понижающая передача</t>
  </si>
  <si>
    <t>33.1111083</t>
  </si>
  <si>
    <t>238-1721088</t>
  </si>
  <si>
    <t>37.1141342</t>
  </si>
  <si>
    <t>238-1721090А</t>
  </si>
  <si>
    <t>Манжета 75*102</t>
  </si>
  <si>
    <t>37.1111940</t>
  </si>
  <si>
    <t>кольцо (25*2)</t>
  </si>
  <si>
    <t>1722-Механизм переключение пониж.передачи</t>
  </si>
  <si>
    <t>37.1111942</t>
  </si>
  <si>
    <t>кольцо (15*2)</t>
  </si>
  <si>
    <t>238-1722041</t>
  </si>
  <si>
    <t>1112-Форсунка</t>
  </si>
  <si>
    <t>238-1722060</t>
  </si>
  <si>
    <t>Кольцо(009-013-25-2-1)</t>
  </si>
  <si>
    <t>236-1112230Б2</t>
  </si>
  <si>
    <t>Уплотнитель штуцера</t>
  </si>
  <si>
    <t>238-1722061</t>
  </si>
  <si>
    <t>236-1112225Б2</t>
  </si>
  <si>
    <t>Упл штуцера с пруж</t>
  </si>
  <si>
    <t>238Н-1722063</t>
  </si>
  <si>
    <t>840-1112528</t>
  </si>
  <si>
    <t>239-1722041-01</t>
  </si>
  <si>
    <t>1115-Впускной трубопровод</t>
  </si>
  <si>
    <t>1723-Управление мех.перекл.пониж.передач</t>
  </si>
  <si>
    <t>201-1114065А2</t>
  </si>
  <si>
    <t>прокладка</t>
  </si>
  <si>
    <t>238-1723026</t>
  </si>
  <si>
    <t>236-1115036-А2</t>
  </si>
  <si>
    <t>Прокладка патрубка</t>
  </si>
  <si>
    <t>238-1723060</t>
  </si>
  <si>
    <t>7511.1115036</t>
  </si>
  <si>
    <t>238-1723070А</t>
  </si>
  <si>
    <t>842-1115036</t>
  </si>
  <si>
    <t>238Н-1723031</t>
  </si>
  <si>
    <t>Кольцо(020-025-30-2-2)</t>
  </si>
  <si>
    <t>1117-Фильтр ТОТ</t>
  </si>
  <si>
    <t>238Н-1723032</t>
  </si>
  <si>
    <t>236-1117032</t>
  </si>
  <si>
    <t>238Н-1723290</t>
  </si>
  <si>
    <t>Диафрагма толкателя</t>
  </si>
  <si>
    <t>201-1117114</t>
  </si>
  <si>
    <t>Группа 37. Электрооборудование</t>
  </si>
  <si>
    <t>201-1117116-А</t>
  </si>
  <si>
    <t>Пр-ка фильтр.элем.верх.</t>
  </si>
  <si>
    <t>3701-Генератор</t>
  </si>
  <si>
    <t>840-1117114</t>
  </si>
  <si>
    <t>240-3701034Б</t>
  </si>
  <si>
    <t>Оболочка</t>
  </si>
  <si>
    <t>1118-Турбокомпрессор</t>
  </si>
  <si>
    <t>3708-Стартер</t>
  </si>
  <si>
    <t>238НБ-1118405Б2</t>
  </si>
  <si>
    <t>Заглушка патрубка</t>
  </si>
  <si>
    <t>238-3708730</t>
  </si>
  <si>
    <t>238НБ-1118411</t>
  </si>
  <si>
    <t>Загл. Корп. компрессора</t>
  </si>
  <si>
    <t>Прочее</t>
  </si>
  <si>
    <t>240Н-1118240</t>
  </si>
  <si>
    <t>Кольцо ТКР(12.1118240)</t>
  </si>
  <si>
    <t>238АК-4200211</t>
  </si>
  <si>
    <t>Манжета 52*72*10*10</t>
  </si>
  <si>
    <t>240Н-1118282</t>
  </si>
  <si>
    <t>1121-Муфта опережения впрыска топлива</t>
  </si>
  <si>
    <t>240-1121100</t>
  </si>
  <si>
    <t>33.1121092-02</t>
  </si>
  <si>
    <t>Манжета (75*94-10)</t>
  </si>
  <si>
    <t xml:space="preserve">Скидка 5% предоставляется на месяц, следующий за  месяцем, в </t>
  </si>
  <si>
    <t>1170-охладитель надувочного воздуха</t>
  </si>
  <si>
    <t>котором была произведена выборка продукции не менее, чем на 400 тыс.руб.,</t>
  </si>
  <si>
    <t>8401-1170256-01</t>
  </si>
  <si>
    <t>Сетка защитная</t>
  </si>
  <si>
    <t>(в т.ч. НДС), и скидка 10% -- не менее, чем на 800 тыс.руб. (в т.ч. НДС)</t>
  </si>
  <si>
    <t>8401-1170324</t>
  </si>
  <si>
    <t>Группа13.Система охлаждения</t>
  </si>
  <si>
    <t>1303-Трубопроводы</t>
  </si>
  <si>
    <t>240-1303018</t>
  </si>
  <si>
    <t>Примечание:</t>
  </si>
  <si>
    <t>***- тарное место (ТМ)</t>
  </si>
  <si>
    <t>ТМ - минимальный объем выборки товара. Отпуск товара производится кратно тарным местам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</si>
</sst>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\ #,##0\ ;&quot; -&quot;#,##0\ ;&quot; - &quot;;@\ "/>
    <numFmt numFmtId="166" formatCode="\ #,##0.00\ ;&quot; -&quot;#,##0.00\ ;&quot; -&quot;#\ ;@\ "/>
    <numFmt numFmtId="167" formatCode="&quot; \&quot;#,##0\ ;&quot; \-&quot;#,##0\ ;&quot; \- &quot;;@\ "/>
    <numFmt numFmtId="168" formatCode="&quot; \&quot;#,##0.00\ ;&quot; \-&quot;#,##0.00\ ;&quot; \-&quot;#\ ;@\ "/>
    <numFmt numFmtId="169" formatCode="\ #,##0&quot;     &quot;;\-#,##0&quot;     &quot;;&quot; -     &quot;;@\ "/>
    <numFmt numFmtId="170" formatCode="\ #,##0.00&quot;     &quot;;\-#,##0.00&quot;     &quot;;&quot; -&quot;#&quot;     &quot;;@\ "/>
    <numFmt numFmtId="171" formatCode="#,##0.00"/>
    <numFmt numFmtId="172" formatCode="DD/MM/YYYY"/>
    <numFmt numFmtId="173" formatCode="0.00"/>
  </numFmts>
  <fonts count="17">
    <font>
      <sz val="10"/>
      <name val="Arial Cyr"/>
      <family val="2"/>
    </font>
    <font>
      <sz val="10"/>
      <name val="Arial"/>
      <family val="0"/>
    </font>
    <font>
      <sz val="12"/>
      <name val="№ЩЕБГј"/>
      <family val="0"/>
    </font>
    <font>
      <b/>
      <sz val="2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2"/>
    </font>
    <font>
      <sz val="10"/>
      <color indexed="12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b/>
      <u val="single"/>
      <sz val="18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Arial Cyr"/>
      <family val="2"/>
    </font>
    <font>
      <sz val="9.5"/>
      <name val="Arial Cyr"/>
      <family val="2"/>
    </font>
    <font>
      <sz val="10"/>
      <color indexed="16"/>
      <name val="Arial Cyr"/>
      <family val="2"/>
    </font>
    <font>
      <b/>
      <sz val="8"/>
      <name val="Arial Cyr"/>
      <family val="2"/>
    </font>
    <font>
      <sz val="8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69" fontId="0" fillId="0" borderId="0" applyFill="0" applyBorder="0" applyAlignment="0" applyProtection="0"/>
    <xf numFmtId="170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0" fillId="2" borderId="0" xfId="25" applyFill="1" applyBorder="1" applyAlignment="1">
      <alignment/>
      <protection/>
    </xf>
    <xf numFmtId="164" fontId="0" fillId="2" borderId="0" xfId="0" applyFill="1" applyBorder="1" applyAlignment="1">
      <alignment/>
    </xf>
    <xf numFmtId="171" fontId="0" fillId="2" borderId="0" xfId="25" applyNumberFormat="1" applyFill="1" applyBorder="1" applyAlignment="1">
      <alignment horizontal="right"/>
      <protection/>
    </xf>
    <xf numFmtId="164" fontId="0" fillId="2" borderId="0" xfId="25" applyFont="1" applyFill="1" applyBorder="1" applyAlignment="1">
      <alignment/>
      <protection/>
    </xf>
    <xf numFmtId="164" fontId="3" fillId="0" borderId="0" xfId="0" applyFont="1" applyFill="1" applyBorder="1" applyAlignment="1">
      <alignment horizontal="left" vertical="center"/>
    </xf>
    <xf numFmtId="164" fontId="4" fillId="2" borderId="0" xfId="0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horizontal="center" vertical="center"/>
    </xf>
    <xf numFmtId="164" fontId="6" fillId="2" borderId="0" xfId="0" applyFont="1" applyFill="1" applyBorder="1" applyAlignment="1">
      <alignment horizontal="left" vertical="center"/>
    </xf>
    <xf numFmtId="164" fontId="7" fillId="0" borderId="0" xfId="0" applyFont="1" applyFill="1" applyBorder="1" applyAlignment="1">
      <alignment horizontal="center"/>
    </xf>
    <xf numFmtId="164" fontId="8" fillId="2" borderId="0" xfId="0" applyFont="1" applyFill="1" applyBorder="1" applyAlignment="1">
      <alignment horizontal="left" vertical="center"/>
    </xf>
    <xf numFmtId="164" fontId="0" fillId="2" borderId="0" xfId="0" applyFont="1" applyFill="1" applyBorder="1" applyAlignment="1">
      <alignment/>
    </xf>
    <xf numFmtId="164" fontId="9" fillId="2" borderId="0" xfId="25" applyFont="1" applyFill="1" applyBorder="1" applyAlignment="1">
      <alignment/>
      <protection/>
    </xf>
    <xf numFmtId="164" fontId="10" fillId="2" borderId="0" xfId="0" applyFont="1" applyFill="1" applyBorder="1" applyAlignment="1">
      <alignment horizontal="center" vertical="center" wrapText="1"/>
    </xf>
    <xf numFmtId="164" fontId="6" fillId="2" borderId="0" xfId="25" applyFont="1" applyFill="1" applyBorder="1" applyAlignment="1">
      <alignment/>
      <protection/>
    </xf>
    <xf numFmtId="164" fontId="8" fillId="2" borderId="0" xfId="25" applyFont="1" applyFill="1" applyBorder="1" applyAlignment="1">
      <alignment horizontal="center" vertical="center"/>
      <protection/>
    </xf>
    <xf numFmtId="164" fontId="8" fillId="2" borderId="0" xfId="25" applyFont="1" applyFill="1" applyBorder="1" applyAlignment="1">
      <alignment horizontal="left" vertical="center"/>
      <protection/>
    </xf>
    <xf numFmtId="172" fontId="8" fillId="2" borderId="0" xfId="25" applyNumberFormat="1" applyFont="1" applyFill="1" applyBorder="1" applyAlignment="1">
      <alignment horizontal="left" vertical="center"/>
      <protection/>
    </xf>
    <xf numFmtId="164" fontId="11" fillId="3" borderId="1" xfId="0" applyFont="1" applyFill="1" applyBorder="1" applyAlignment="1">
      <alignment horizontal="center" vertical="center" wrapText="1"/>
    </xf>
    <xf numFmtId="164" fontId="9" fillId="4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2" borderId="1" xfId="0" applyFont="1" applyFill="1" applyBorder="1" applyAlignment="1">
      <alignment/>
    </xf>
    <xf numFmtId="171" fontId="0" fillId="0" borderId="1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0" fillId="0" borderId="0" xfId="0" applyFill="1" applyAlignment="1">
      <alignment/>
    </xf>
    <xf numFmtId="171" fontId="12" fillId="0" borderId="1" xfId="0" applyNumberFormat="1" applyFont="1" applyFill="1" applyBorder="1" applyAlignment="1">
      <alignment horizontal="center"/>
    </xf>
    <xf numFmtId="164" fontId="8" fillId="2" borderId="1" xfId="0" applyFont="1" applyFill="1" applyBorder="1" applyAlignment="1">
      <alignment/>
    </xf>
    <xf numFmtId="164" fontId="0" fillId="2" borderId="1" xfId="0" applyFont="1" applyFill="1" applyBorder="1" applyAlignment="1">
      <alignment horizontal="left"/>
    </xf>
    <xf numFmtId="164" fontId="13" fillId="0" borderId="1" xfId="0" applyFont="1" applyFill="1" applyBorder="1" applyAlignment="1">
      <alignment/>
    </xf>
    <xf numFmtId="164" fontId="8" fillId="0" borderId="1" xfId="0" applyFont="1" applyFill="1" applyBorder="1" applyAlignment="1">
      <alignment/>
    </xf>
    <xf numFmtId="173" fontId="0" fillId="0" borderId="1" xfId="0" applyNumberFormat="1" applyFont="1" applyFill="1" applyBorder="1" applyAlignment="1">
      <alignment horizontal="center"/>
    </xf>
    <xf numFmtId="164" fontId="8" fillId="2" borderId="1" xfId="0" applyFont="1" applyFill="1" applyBorder="1" applyAlignment="1">
      <alignment horizontal="center"/>
    </xf>
    <xf numFmtId="164" fontId="8" fillId="2" borderId="1" xfId="0" applyFont="1" applyFill="1" applyBorder="1" applyAlignment="1">
      <alignment/>
    </xf>
    <xf numFmtId="164" fontId="0" fillId="0" borderId="1" xfId="0" applyFont="1" applyFill="1" applyBorder="1" applyAlignment="1">
      <alignment horizontal="left"/>
    </xf>
    <xf numFmtId="164" fontId="0" fillId="0" borderId="1" xfId="0" applyFont="1" applyBorder="1" applyAlignment="1">
      <alignment/>
    </xf>
    <xf numFmtId="164" fontId="8" fillId="0" borderId="1" xfId="0" applyFont="1" applyFill="1" applyBorder="1" applyAlignment="1">
      <alignment horizontal="center"/>
    </xf>
    <xf numFmtId="164" fontId="9" fillId="4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64" fontId="14" fillId="0" borderId="1" xfId="0" applyFont="1" applyFill="1" applyBorder="1" applyAlignment="1">
      <alignment/>
    </xf>
    <xf numFmtId="164" fontId="14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64" fontId="15" fillId="0" borderId="0" xfId="0" applyFont="1" applyAlignment="1">
      <alignment/>
    </xf>
    <xf numFmtId="164" fontId="0" fillId="0" borderId="0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71" fontId="0" fillId="0" borderId="0" xfId="0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9" fillId="0" borderId="0" xfId="0" applyFont="1" applyFill="1" applyBorder="1" applyAlignment="1">
      <alignment/>
    </xf>
    <xf numFmtId="164" fontId="15" fillId="0" borderId="0" xfId="0" applyFont="1" applyFill="1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ДЮё¶ [0]_laroux" xfId="20"/>
    <cellStyle name="ДЮё¶_laroux" xfId="21"/>
    <cellStyle name="ЕлИ­ [0]_laroux" xfId="22"/>
    <cellStyle name="ЕлИ­_laroux" xfId="23"/>
    <cellStyle name="ЗҐБШ_CTV" xfId="24"/>
    <cellStyle name="Обычный_PRAIS2" xfId="25"/>
    <cellStyle name="Тысячи [0]_laroux" xfId="26"/>
    <cellStyle name="Тысячи_laroux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76200</xdr:rowOff>
    </xdr:from>
    <xdr:to>
      <xdr:col>0</xdr:col>
      <xdr:colOff>219075</xdr:colOff>
      <xdr:row>4</xdr:row>
      <xdr:rowOff>38100</xdr:rowOff>
    </xdr:to>
    <xdr:sp>
      <xdr:nvSpPr>
        <xdr:cNvPr id="1" name="Прямоугольник 4"/>
        <xdr:cNvSpPr>
          <a:spLocks/>
        </xdr:cNvSpPr>
      </xdr:nvSpPr>
      <xdr:spPr>
        <a:xfrm>
          <a:off x="171450" y="76200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</xdr:row>
      <xdr:rowOff>28575</xdr:rowOff>
    </xdr:from>
    <xdr:to>
      <xdr:col>0</xdr:col>
      <xdr:colOff>180975</xdr:colOff>
      <xdr:row>4</xdr:row>
      <xdr:rowOff>142875</xdr:rowOff>
    </xdr:to>
    <xdr:sp>
      <xdr:nvSpPr>
        <xdr:cNvPr id="2" name="Прямоугольник 5"/>
        <xdr:cNvSpPr>
          <a:spLocks/>
        </xdr:cNvSpPr>
      </xdr:nvSpPr>
      <xdr:spPr>
        <a:xfrm>
          <a:off x="152400" y="97155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171450</xdr:colOff>
      <xdr:row>4</xdr:row>
      <xdr:rowOff>28575</xdr:rowOff>
    </xdr:from>
    <xdr:to>
      <xdr:col>0</xdr:col>
      <xdr:colOff>219075</xdr:colOff>
      <xdr:row>4</xdr:row>
      <xdr:rowOff>152400</xdr:rowOff>
    </xdr:to>
    <xdr:sp>
      <xdr:nvSpPr>
        <xdr:cNvPr id="3" name="Прямоугольник 6"/>
        <xdr:cNvSpPr>
          <a:spLocks/>
        </xdr:cNvSpPr>
      </xdr:nvSpPr>
      <xdr:spPr>
        <a:xfrm>
          <a:off x="171450" y="97155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4</xdr:row>
      <xdr:rowOff>142875</xdr:rowOff>
    </xdr:from>
    <xdr:to>
      <xdr:col>0</xdr:col>
      <xdr:colOff>219075</xdr:colOff>
      <xdr:row>5</xdr:row>
      <xdr:rowOff>66675</xdr:rowOff>
    </xdr:to>
    <xdr:sp>
      <xdr:nvSpPr>
        <xdr:cNvPr id="4" name="Прямоугольник 7"/>
        <xdr:cNvSpPr>
          <a:spLocks/>
        </xdr:cNvSpPr>
      </xdr:nvSpPr>
      <xdr:spPr>
        <a:xfrm>
          <a:off x="171450" y="1085850"/>
          <a:ext cx="47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4</xdr:row>
      <xdr:rowOff>142875</xdr:rowOff>
    </xdr:from>
    <xdr:to>
      <xdr:col>0</xdr:col>
      <xdr:colOff>219075</xdr:colOff>
      <xdr:row>5</xdr:row>
      <xdr:rowOff>66675</xdr:rowOff>
    </xdr:to>
    <xdr:sp>
      <xdr:nvSpPr>
        <xdr:cNvPr id="5" name="Прямоугольник 8"/>
        <xdr:cNvSpPr>
          <a:spLocks/>
        </xdr:cNvSpPr>
      </xdr:nvSpPr>
      <xdr:spPr>
        <a:xfrm>
          <a:off x="171450" y="1085850"/>
          <a:ext cx="47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104775</xdr:colOff>
      <xdr:row>7</xdr:row>
      <xdr:rowOff>85725</xdr:rowOff>
    </xdr:from>
    <xdr:to>
      <xdr:col>0</xdr:col>
      <xdr:colOff>152400</xdr:colOff>
      <xdr:row>8</xdr:row>
      <xdr:rowOff>76200</xdr:rowOff>
    </xdr:to>
    <xdr:sp>
      <xdr:nvSpPr>
        <xdr:cNvPr id="6" name="Прямоугольник 16"/>
        <xdr:cNvSpPr>
          <a:spLocks/>
        </xdr:cNvSpPr>
      </xdr:nvSpPr>
      <xdr:spPr>
        <a:xfrm>
          <a:off x="104775" y="2295525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171450</xdr:colOff>
      <xdr:row>3</xdr:row>
      <xdr:rowOff>76200</xdr:rowOff>
    </xdr:from>
    <xdr:to>
      <xdr:col>0</xdr:col>
      <xdr:colOff>219075</xdr:colOff>
      <xdr:row>4</xdr:row>
      <xdr:rowOff>38100</xdr:rowOff>
    </xdr:to>
    <xdr:sp>
      <xdr:nvSpPr>
        <xdr:cNvPr id="7" name="Прямоугольник 18"/>
        <xdr:cNvSpPr>
          <a:spLocks/>
        </xdr:cNvSpPr>
      </xdr:nvSpPr>
      <xdr:spPr>
        <a:xfrm>
          <a:off x="171450" y="76200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</xdr:row>
      <xdr:rowOff>28575</xdr:rowOff>
    </xdr:from>
    <xdr:to>
      <xdr:col>0</xdr:col>
      <xdr:colOff>180975</xdr:colOff>
      <xdr:row>4</xdr:row>
      <xdr:rowOff>142875</xdr:rowOff>
    </xdr:to>
    <xdr:sp>
      <xdr:nvSpPr>
        <xdr:cNvPr id="8" name="Прямоугольник 19"/>
        <xdr:cNvSpPr>
          <a:spLocks/>
        </xdr:cNvSpPr>
      </xdr:nvSpPr>
      <xdr:spPr>
        <a:xfrm>
          <a:off x="152400" y="97155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171450</xdr:colOff>
      <xdr:row>4</xdr:row>
      <xdr:rowOff>28575</xdr:rowOff>
    </xdr:from>
    <xdr:to>
      <xdr:col>0</xdr:col>
      <xdr:colOff>219075</xdr:colOff>
      <xdr:row>4</xdr:row>
      <xdr:rowOff>152400</xdr:rowOff>
    </xdr:to>
    <xdr:sp>
      <xdr:nvSpPr>
        <xdr:cNvPr id="9" name="Прямоугольник 20"/>
        <xdr:cNvSpPr>
          <a:spLocks/>
        </xdr:cNvSpPr>
      </xdr:nvSpPr>
      <xdr:spPr>
        <a:xfrm>
          <a:off x="171450" y="97155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4</xdr:row>
      <xdr:rowOff>142875</xdr:rowOff>
    </xdr:from>
    <xdr:to>
      <xdr:col>0</xdr:col>
      <xdr:colOff>219075</xdr:colOff>
      <xdr:row>5</xdr:row>
      <xdr:rowOff>66675</xdr:rowOff>
    </xdr:to>
    <xdr:sp>
      <xdr:nvSpPr>
        <xdr:cNvPr id="10" name="Прямоугольник 21"/>
        <xdr:cNvSpPr>
          <a:spLocks/>
        </xdr:cNvSpPr>
      </xdr:nvSpPr>
      <xdr:spPr>
        <a:xfrm>
          <a:off x="171450" y="1085850"/>
          <a:ext cx="47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4</xdr:row>
      <xdr:rowOff>142875</xdr:rowOff>
    </xdr:from>
    <xdr:to>
      <xdr:col>0</xdr:col>
      <xdr:colOff>219075</xdr:colOff>
      <xdr:row>5</xdr:row>
      <xdr:rowOff>66675</xdr:rowOff>
    </xdr:to>
    <xdr:sp>
      <xdr:nvSpPr>
        <xdr:cNvPr id="11" name="Прямоугольник 22"/>
        <xdr:cNvSpPr>
          <a:spLocks/>
        </xdr:cNvSpPr>
      </xdr:nvSpPr>
      <xdr:spPr>
        <a:xfrm>
          <a:off x="171450" y="1085850"/>
          <a:ext cx="47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104775</xdr:colOff>
      <xdr:row>7</xdr:row>
      <xdr:rowOff>85725</xdr:rowOff>
    </xdr:from>
    <xdr:to>
      <xdr:col>0</xdr:col>
      <xdr:colOff>152400</xdr:colOff>
      <xdr:row>8</xdr:row>
      <xdr:rowOff>76200</xdr:rowOff>
    </xdr:to>
    <xdr:sp>
      <xdr:nvSpPr>
        <xdr:cNvPr id="12" name="Прямоугольник 23"/>
        <xdr:cNvSpPr>
          <a:spLocks/>
        </xdr:cNvSpPr>
      </xdr:nvSpPr>
      <xdr:spPr>
        <a:xfrm>
          <a:off x="104775" y="2295525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180975</xdr:colOff>
      <xdr:row>0</xdr:row>
      <xdr:rowOff>38100</xdr:rowOff>
    </xdr:from>
    <xdr:to>
      <xdr:col>0</xdr:col>
      <xdr:colOff>209550</xdr:colOff>
      <xdr:row>1</xdr:row>
      <xdr:rowOff>323850</xdr:rowOff>
    </xdr:to>
    <xdr:sp>
      <xdr:nvSpPr>
        <xdr:cNvPr id="13" name="Прямоугольник 24"/>
        <xdr:cNvSpPr>
          <a:spLocks/>
        </xdr:cNvSpPr>
      </xdr:nvSpPr>
      <xdr:spPr>
        <a:xfrm>
          <a:off x="180975" y="38100"/>
          <a:ext cx="19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85725</xdr:rowOff>
    </xdr:from>
    <xdr:to>
      <xdr:col>0</xdr:col>
      <xdr:colOff>209550</xdr:colOff>
      <xdr:row>2</xdr:row>
      <xdr:rowOff>85725</xdr:rowOff>
    </xdr:to>
    <xdr:sp>
      <xdr:nvSpPr>
        <xdr:cNvPr id="14" name="Прямоугольник 25"/>
        <xdr:cNvSpPr>
          <a:spLocks/>
        </xdr:cNvSpPr>
      </xdr:nvSpPr>
      <xdr:spPr>
        <a:xfrm>
          <a:off x="180975" y="257175"/>
          <a:ext cx="19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209550</xdr:colOff>
      <xdr:row>3</xdr:row>
      <xdr:rowOff>47625</xdr:rowOff>
    </xdr:to>
    <xdr:sp>
      <xdr:nvSpPr>
        <xdr:cNvPr id="15" name="Прямоугольник 26"/>
        <xdr:cNvSpPr>
          <a:spLocks/>
        </xdr:cNvSpPr>
      </xdr:nvSpPr>
      <xdr:spPr>
        <a:xfrm>
          <a:off x="180975" y="61912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3</xdr:row>
      <xdr:rowOff>76200</xdr:rowOff>
    </xdr:from>
    <xdr:to>
      <xdr:col>0</xdr:col>
      <xdr:colOff>209550</xdr:colOff>
      <xdr:row>4</xdr:row>
      <xdr:rowOff>38100</xdr:rowOff>
    </xdr:to>
    <xdr:sp>
      <xdr:nvSpPr>
        <xdr:cNvPr id="16" name="Прямоугольник 27"/>
        <xdr:cNvSpPr>
          <a:spLocks/>
        </xdr:cNvSpPr>
      </xdr:nvSpPr>
      <xdr:spPr>
        <a:xfrm>
          <a:off x="180975" y="762000"/>
          <a:ext cx="19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</xdr:row>
      <xdr:rowOff>47625</xdr:rowOff>
    </xdr:from>
    <xdr:to>
      <xdr:col>0</xdr:col>
      <xdr:colOff>180975</xdr:colOff>
      <xdr:row>4</xdr:row>
      <xdr:rowOff>161925</xdr:rowOff>
    </xdr:to>
    <xdr:sp>
      <xdr:nvSpPr>
        <xdr:cNvPr id="17" name="Прямоугольник 28"/>
        <xdr:cNvSpPr>
          <a:spLocks/>
        </xdr:cNvSpPr>
      </xdr:nvSpPr>
      <xdr:spPr>
        <a:xfrm>
          <a:off x="152400" y="99060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180975</xdr:colOff>
      <xdr:row>4</xdr:row>
      <xdr:rowOff>38100</xdr:rowOff>
    </xdr:from>
    <xdr:to>
      <xdr:col>0</xdr:col>
      <xdr:colOff>209550</xdr:colOff>
      <xdr:row>4</xdr:row>
      <xdr:rowOff>152400</xdr:rowOff>
    </xdr:to>
    <xdr:sp>
      <xdr:nvSpPr>
        <xdr:cNvPr id="18" name="Прямоугольник 29"/>
        <xdr:cNvSpPr>
          <a:spLocks/>
        </xdr:cNvSpPr>
      </xdr:nvSpPr>
      <xdr:spPr>
        <a:xfrm>
          <a:off x="180975" y="98107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4</xdr:row>
      <xdr:rowOff>133350</xdr:rowOff>
    </xdr:from>
    <xdr:to>
      <xdr:col>0</xdr:col>
      <xdr:colOff>209550</xdr:colOff>
      <xdr:row>5</xdr:row>
      <xdr:rowOff>66675</xdr:rowOff>
    </xdr:to>
    <xdr:sp>
      <xdr:nvSpPr>
        <xdr:cNvPr id="19" name="Прямоугольник 30"/>
        <xdr:cNvSpPr>
          <a:spLocks/>
        </xdr:cNvSpPr>
      </xdr:nvSpPr>
      <xdr:spPr>
        <a:xfrm>
          <a:off x="180975" y="107632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4</xdr:row>
      <xdr:rowOff>133350</xdr:rowOff>
    </xdr:from>
    <xdr:to>
      <xdr:col>0</xdr:col>
      <xdr:colOff>209550</xdr:colOff>
      <xdr:row>5</xdr:row>
      <xdr:rowOff>66675</xdr:rowOff>
    </xdr:to>
    <xdr:sp>
      <xdr:nvSpPr>
        <xdr:cNvPr id="20" name="Прямоугольник 31"/>
        <xdr:cNvSpPr>
          <a:spLocks/>
        </xdr:cNvSpPr>
      </xdr:nvSpPr>
      <xdr:spPr>
        <a:xfrm>
          <a:off x="180975" y="107632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133350</xdr:colOff>
      <xdr:row>3</xdr:row>
      <xdr:rowOff>47625</xdr:rowOff>
    </xdr:from>
    <xdr:to>
      <xdr:col>0</xdr:col>
      <xdr:colOff>152400</xdr:colOff>
      <xdr:row>4</xdr:row>
      <xdr:rowOff>9525</xdr:rowOff>
    </xdr:to>
    <xdr:sp>
      <xdr:nvSpPr>
        <xdr:cNvPr id="21" name="Прямоугольник 32"/>
        <xdr:cNvSpPr>
          <a:spLocks/>
        </xdr:cNvSpPr>
      </xdr:nvSpPr>
      <xdr:spPr>
        <a:xfrm>
          <a:off x="133350" y="733425"/>
          <a:ext cx="19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104775</xdr:colOff>
      <xdr:row>4</xdr:row>
      <xdr:rowOff>57150</xdr:rowOff>
    </xdr:from>
    <xdr:to>
      <xdr:col>0</xdr:col>
      <xdr:colOff>133350</xdr:colOff>
      <xdr:row>4</xdr:row>
      <xdr:rowOff>171450</xdr:rowOff>
    </xdr:to>
    <xdr:sp>
      <xdr:nvSpPr>
        <xdr:cNvPr id="22" name="Прямоугольник 33"/>
        <xdr:cNvSpPr>
          <a:spLocks/>
        </xdr:cNvSpPr>
      </xdr:nvSpPr>
      <xdr:spPr>
        <a:xfrm>
          <a:off x="104775" y="100012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5</xdr:row>
      <xdr:rowOff>19050</xdr:rowOff>
    </xdr:from>
    <xdr:to>
      <xdr:col>0</xdr:col>
      <xdr:colOff>209550</xdr:colOff>
      <xdr:row>5</xdr:row>
      <xdr:rowOff>152400</xdr:rowOff>
    </xdr:to>
    <xdr:sp>
      <xdr:nvSpPr>
        <xdr:cNvPr id="23" name="Прямоугольник 34"/>
        <xdr:cNvSpPr>
          <a:spLocks/>
        </xdr:cNvSpPr>
      </xdr:nvSpPr>
      <xdr:spPr>
        <a:xfrm>
          <a:off x="180975" y="11430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85725</xdr:rowOff>
    </xdr:from>
    <xdr:to>
      <xdr:col>0</xdr:col>
      <xdr:colOff>133350</xdr:colOff>
      <xdr:row>8</xdr:row>
      <xdr:rowOff>76200</xdr:rowOff>
    </xdr:to>
    <xdr:sp>
      <xdr:nvSpPr>
        <xdr:cNvPr id="24" name="Прямоугольник 35"/>
        <xdr:cNvSpPr>
          <a:spLocks/>
        </xdr:cNvSpPr>
      </xdr:nvSpPr>
      <xdr:spPr>
        <a:xfrm>
          <a:off x="85725" y="22955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180975</xdr:colOff>
      <xdr:row>3</xdr:row>
      <xdr:rowOff>76200</xdr:rowOff>
    </xdr:from>
    <xdr:to>
      <xdr:col>0</xdr:col>
      <xdr:colOff>209550</xdr:colOff>
      <xdr:row>4</xdr:row>
      <xdr:rowOff>38100</xdr:rowOff>
    </xdr:to>
    <xdr:sp>
      <xdr:nvSpPr>
        <xdr:cNvPr id="25" name="Прямоугольник 36"/>
        <xdr:cNvSpPr>
          <a:spLocks/>
        </xdr:cNvSpPr>
      </xdr:nvSpPr>
      <xdr:spPr>
        <a:xfrm>
          <a:off x="180975" y="762000"/>
          <a:ext cx="19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</xdr:row>
      <xdr:rowOff>47625</xdr:rowOff>
    </xdr:from>
    <xdr:to>
      <xdr:col>0</xdr:col>
      <xdr:colOff>180975</xdr:colOff>
      <xdr:row>4</xdr:row>
      <xdr:rowOff>161925</xdr:rowOff>
    </xdr:to>
    <xdr:sp>
      <xdr:nvSpPr>
        <xdr:cNvPr id="26" name="Прямоугольник 37"/>
        <xdr:cNvSpPr>
          <a:spLocks/>
        </xdr:cNvSpPr>
      </xdr:nvSpPr>
      <xdr:spPr>
        <a:xfrm>
          <a:off x="152400" y="99060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180975</xdr:colOff>
      <xdr:row>4</xdr:row>
      <xdr:rowOff>38100</xdr:rowOff>
    </xdr:from>
    <xdr:to>
      <xdr:col>0</xdr:col>
      <xdr:colOff>209550</xdr:colOff>
      <xdr:row>4</xdr:row>
      <xdr:rowOff>152400</xdr:rowOff>
    </xdr:to>
    <xdr:sp>
      <xdr:nvSpPr>
        <xdr:cNvPr id="27" name="Прямоугольник 38"/>
        <xdr:cNvSpPr>
          <a:spLocks/>
        </xdr:cNvSpPr>
      </xdr:nvSpPr>
      <xdr:spPr>
        <a:xfrm>
          <a:off x="180975" y="98107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4</xdr:row>
      <xdr:rowOff>133350</xdr:rowOff>
    </xdr:from>
    <xdr:to>
      <xdr:col>0</xdr:col>
      <xdr:colOff>209550</xdr:colOff>
      <xdr:row>5</xdr:row>
      <xdr:rowOff>66675</xdr:rowOff>
    </xdr:to>
    <xdr:sp>
      <xdr:nvSpPr>
        <xdr:cNvPr id="28" name="Прямоугольник 39"/>
        <xdr:cNvSpPr>
          <a:spLocks/>
        </xdr:cNvSpPr>
      </xdr:nvSpPr>
      <xdr:spPr>
        <a:xfrm>
          <a:off x="180975" y="107632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4</xdr:row>
      <xdr:rowOff>133350</xdr:rowOff>
    </xdr:from>
    <xdr:to>
      <xdr:col>0</xdr:col>
      <xdr:colOff>209550</xdr:colOff>
      <xdr:row>5</xdr:row>
      <xdr:rowOff>66675</xdr:rowOff>
    </xdr:to>
    <xdr:sp>
      <xdr:nvSpPr>
        <xdr:cNvPr id="29" name="Прямоугольник 40"/>
        <xdr:cNvSpPr>
          <a:spLocks/>
        </xdr:cNvSpPr>
      </xdr:nvSpPr>
      <xdr:spPr>
        <a:xfrm>
          <a:off x="180975" y="107632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85725</xdr:rowOff>
    </xdr:from>
    <xdr:to>
      <xdr:col>0</xdr:col>
      <xdr:colOff>133350</xdr:colOff>
      <xdr:row>8</xdr:row>
      <xdr:rowOff>76200</xdr:rowOff>
    </xdr:to>
    <xdr:sp>
      <xdr:nvSpPr>
        <xdr:cNvPr id="30" name="Прямоугольник 41"/>
        <xdr:cNvSpPr>
          <a:spLocks/>
        </xdr:cNvSpPr>
      </xdr:nvSpPr>
      <xdr:spPr>
        <a:xfrm>
          <a:off x="85725" y="22955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171450</xdr:colOff>
      <xdr:row>3</xdr:row>
      <xdr:rowOff>85725</xdr:rowOff>
    </xdr:from>
    <xdr:to>
      <xdr:col>0</xdr:col>
      <xdr:colOff>219075</xdr:colOff>
      <xdr:row>4</xdr:row>
      <xdr:rowOff>38100</xdr:rowOff>
    </xdr:to>
    <xdr:sp>
      <xdr:nvSpPr>
        <xdr:cNvPr id="31" name="Прямоугольник 42"/>
        <xdr:cNvSpPr>
          <a:spLocks/>
        </xdr:cNvSpPr>
      </xdr:nvSpPr>
      <xdr:spPr>
        <a:xfrm>
          <a:off x="171450" y="7715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</xdr:row>
      <xdr:rowOff>28575</xdr:rowOff>
    </xdr:from>
    <xdr:to>
      <xdr:col>0</xdr:col>
      <xdr:colOff>180975</xdr:colOff>
      <xdr:row>4</xdr:row>
      <xdr:rowOff>142875</xdr:rowOff>
    </xdr:to>
    <xdr:sp>
      <xdr:nvSpPr>
        <xdr:cNvPr id="32" name="Прямоугольник 43"/>
        <xdr:cNvSpPr>
          <a:spLocks/>
        </xdr:cNvSpPr>
      </xdr:nvSpPr>
      <xdr:spPr>
        <a:xfrm>
          <a:off x="152400" y="97155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171450</xdr:colOff>
      <xdr:row>4</xdr:row>
      <xdr:rowOff>28575</xdr:rowOff>
    </xdr:from>
    <xdr:to>
      <xdr:col>0</xdr:col>
      <xdr:colOff>219075</xdr:colOff>
      <xdr:row>4</xdr:row>
      <xdr:rowOff>152400</xdr:rowOff>
    </xdr:to>
    <xdr:sp>
      <xdr:nvSpPr>
        <xdr:cNvPr id="33" name="Прямоугольник 44"/>
        <xdr:cNvSpPr>
          <a:spLocks/>
        </xdr:cNvSpPr>
      </xdr:nvSpPr>
      <xdr:spPr>
        <a:xfrm>
          <a:off x="171450" y="97155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4</xdr:row>
      <xdr:rowOff>133350</xdr:rowOff>
    </xdr:from>
    <xdr:to>
      <xdr:col>0</xdr:col>
      <xdr:colOff>219075</xdr:colOff>
      <xdr:row>5</xdr:row>
      <xdr:rowOff>66675</xdr:rowOff>
    </xdr:to>
    <xdr:sp>
      <xdr:nvSpPr>
        <xdr:cNvPr id="34" name="Прямоугольник 45"/>
        <xdr:cNvSpPr>
          <a:spLocks/>
        </xdr:cNvSpPr>
      </xdr:nvSpPr>
      <xdr:spPr>
        <a:xfrm>
          <a:off x="171450" y="10763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4</xdr:row>
      <xdr:rowOff>133350</xdr:rowOff>
    </xdr:from>
    <xdr:to>
      <xdr:col>0</xdr:col>
      <xdr:colOff>219075</xdr:colOff>
      <xdr:row>5</xdr:row>
      <xdr:rowOff>66675</xdr:rowOff>
    </xdr:to>
    <xdr:sp>
      <xdr:nvSpPr>
        <xdr:cNvPr id="35" name="Прямоугольник 46"/>
        <xdr:cNvSpPr>
          <a:spLocks/>
        </xdr:cNvSpPr>
      </xdr:nvSpPr>
      <xdr:spPr>
        <a:xfrm>
          <a:off x="171450" y="10763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104775</xdr:colOff>
      <xdr:row>7</xdr:row>
      <xdr:rowOff>85725</xdr:rowOff>
    </xdr:from>
    <xdr:to>
      <xdr:col>0</xdr:col>
      <xdr:colOff>152400</xdr:colOff>
      <xdr:row>8</xdr:row>
      <xdr:rowOff>76200</xdr:rowOff>
    </xdr:to>
    <xdr:sp>
      <xdr:nvSpPr>
        <xdr:cNvPr id="36" name="Прямоугольник 47"/>
        <xdr:cNvSpPr>
          <a:spLocks/>
        </xdr:cNvSpPr>
      </xdr:nvSpPr>
      <xdr:spPr>
        <a:xfrm>
          <a:off x="104775" y="2295525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171450</xdr:colOff>
      <xdr:row>3</xdr:row>
      <xdr:rowOff>85725</xdr:rowOff>
    </xdr:from>
    <xdr:to>
      <xdr:col>0</xdr:col>
      <xdr:colOff>219075</xdr:colOff>
      <xdr:row>4</xdr:row>
      <xdr:rowOff>38100</xdr:rowOff>
    </xdr:to>
    <xdr:sp>
      <xdr:nvSpPr>
        <xdr:cNvPr id="37" name="Прямоугольник 48"/>
        <xdr:cNvSpPr>
          <a:spLocks/>
        </xdr:cNvSpPr>
      </xdr:nvSpPr>
      <xdr:spPr>
        <a:xfrm>
          <a:off x="171450" y="7715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</xdr:row>
      <xdr:rowOff>28575</xdr:rowOff>
    </xdr:from>
    <xdr:to>
      <xdr:col>0</xdr:col>
      <xdr:colOff>180975</xdr:colOff>
      <xdr:row>4</xdr:row>
      <xdr:rowOff>142875</xdr:rowOff>
    </xdr:to>
    <xdr:sp>
      <xdr:nvSpPr>
        <xdr:cNvPr id="38" name="Прямоугольник 49"/>
        <xdr:cNvSpPr>
          <a:spLocks/>
        </xdr:cNvSpPr>
      </xdr:nvSpPr>
      <xdr:spPr>
        <a:xfrm>
          <a:off x="152400" y="97155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171450</xdr:colOff>
      <xdr:row>4</xdr:row>
      <xdr:rowOff>28575</xdr:rowOff>
    </xdr:from>
    <xdr:to>
      <xdr:col>0</xdr:col>
      <xdr:colOff>219075</xdr:colOff>
      <xdr:row>4</xdr:row>
      <xdr:rowOff>152400</xdr:rowOff>
    </xdr:to>
    <xdr:sp>
      <xdr:nvSpPr>
        <xdr:cNvPr id="39" name="Прямоугольник 50"/>
        <xdr:cNvSpPr>
          <a:spLocks/>
        </xdr:cNvSpPr>
      </xdr:nvSpPr>
      <xdr:spPr>
        <a:xfrm>
          <a:off x="171450" y="97155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4</xdr:row>
      <xdr:rowOff>133350</xdr:rowOff>
    </xdr:from>
    <xdr:to>
      <xdr:col>0</xdr:col>
      <xdr:colOff>219075</xdr:colOff>
      <xdr:row>5</xdr:row>
      <xdr:rowOff>66675</xdr:rowOff>
    </xdr:to>
    <xdr:sp>
      <xdr:nvSpPr>
        <xdr:cNvPr id="40" name="Прямоугольник 51"/>
        <xdr:cNvSpPr>
          <a:spLocks/>
        </xdr:cNvSpPr>
      </xdr:nvSpPr>
      <xdr:spPr>
        <a:xfrm>
          <a:off x="171450" y="10763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4</xdr:row>
      <xdr:rowOff>133350</xdr:rowOff>
    </xdr:from>
    <xdr:to>
      <xdr:col>0</xdr:col>
      <xdr:colOff>219075</xdr:colOff>
      <xdr:row>5</xdr:row>
      <xdr:rowOff>66675</xdr:rowOff>
    </xdr:to>
    <xdr:sp>
      <xdr:nvSpPr>
        <xdr:cNvPr id="41" name="Прямоугольник 52"/>
        <xdr:cNvSpPr>
          <a:spLocks/>
        </xdr:cNvSpPr>
      </xdr:nvSpPr>
      <xdr:spPr>
        <a:xfrm>
          <a:off x="171450" y="10763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104775</xdr:colOff>
      <xdr:row>7</xdr:row>
      <xdr:rowOff>85725</xdr:rowOff>
    </xdr:from>
    <xdr:to>
      <xdr:col>0</xdr:col>
      <xdr:colOff>152400</xdr:colOff>
      <xdr:row>8</xdr:row>
      <xdr:rowOff>76200</xdr:rowOff>
    </xdr:to>
    <xdr:sp>
      <xdr:nvSpPr>
        <xdr:cNvPr id="42" name="Прямоугольник 53"/>
        <xdr:cNvSpPr>
          <a:spLocks/>
        </xdr:cNvSpPr>
      </xdr:nvSpPr>
      <xdr:spPr>
        <a:xfrm>
          <a:off x="104775" y="2295525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171450</xdr:colOff>
      <xdr:row>0</xdr:row>
      <xdr:rowOff>38100</xdr:rowOff>
    </xdr:from>
    <xdr:to>
      <xdr:col>0</xdr:col>
      <xdr:colOff>219075</xdr:colOff>
      <xdr:row>1</xdr:row>
      <xdr:rowOff>323850</xdr:rowOff>
    </xdr:to>
    <xdr:sp>
      <xdr:nvSpPr>
        <xdr:cNvPr id="43" name="Прямоугольник 54"/>
        <xdr:cNvSpPr>
          <a:spLocks/>
        </xdr:cNvSpPr>
      </xdr:nvSpPr>
      <xdr:spPr>
        <a:xfrm>
          <a:off x="171450" y="38100"/>
          <a:ext cx="476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2</xdr:row>
      <xdr:rowOff>133350</xdr:rowOff>
    </xdr:from>
    <xdr:to>
      <xdr:col>0</xdr:col>
      <xdr:colOff>219075</xdr:colOff>
      <xdr:row>3</xdr:row>
      <xdr:rowOff>76200</xdr:rowOff>
    </xdr:to>
    <xdr:sp>
      <xdr:nvSpPr>
        <xdr:cNvPr id="44" name="Прямоугольник 55"/>
        <xdr:cNvSpPr>
          <a:spLocks/>
        </xdr:cNvSpPr>
      </xdr:nvSpPr>
      <xdr:spPr>
        <a:xfrm>
          <a:off x="171450" y="63817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2</xdr:row>
      <xdr:rowOff>133350</xdr:rowOff>
    </xdr:from>
    <xdr:to>
      <xdr:col>0</xdr:col>
      <xdr:colOff>219075</xdr:colOff>
      <xdr:row>3</xdr:row>
      <xdr:rowOff>76200</xdr:rowOff>
    </xdr:to>
    <xdr:sp>
      <xdr:nvSpPr>
        <xdr:cNvPr id="45" name="Прямоугольник 56"/>
        <xdr:cNvSpPr>
          <a:spLocks/>
        </xdr:cNvSpPr>
      </xdr:nvSpPr>
      <xdr:spPr>
        <a:xfrm>
          <a:off x="171450" y="63817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3</xdr:row>
      <xdr:rowOff>85725</xdr:rowOff>
    </xdr:from>
    <xdr:to>
      <xdr:col>0</xdr:col>
      <xdr:colOff>219075</xdr:colOff>
      <xdr:row>4</xdr:row>
      <xdr:rowOff>38100</xdr:rowOff>
    </xdr:to>
    <xdr:sp>
      <xdr:nvSpPr>
        <xdr:cNvPr id="46" name="Прямоугольник 57"/>
        <xdr:cNvSpPr>
          <a:spLocks/>
        </xdr:cNvSpPr>
      </xdr:nvSpPr>
      <xdr:spPr>
        <a:xfrm>
          <a:off x="171450" y="7715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</xdr:row>
      <xdr:rowOff>28575</xdr:rowOff>
    </xdr:from>
    <xdr:to>
      <xdr:col>0</xdr:col>
      <xdr:colOff>180975</xdr:colOff>
      <xdr:row>4</xdr:row>
      <xdr:rowOff>142875</xdr:rowOff>
    </xdr:to>
    <xdr:sp>
      <xdr:nvSpPr>
        <xdr:cNvPr id="47" name="Прямоугольник 58"/>
        <xdr:cNvSpPr>
          <a:spLocks/>
        </xdr:cNvSpPr>
      </xdr:nvSpPr>
      <xdr:spPr>
        <a:xfrm>
          <a:off x="152400" y="97155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171450</xdr:colOff>
      <xdr:row>4</xdr:row>
      <xdr:rowOff>28575</xdr:rowOff>
    </xdr:from>
    <xdr:to>
      <xdr:col>0</xdr:col>
      <xdr:colOff>219075</xdr:colOff>
      <xdr:row>4</xdr:row>
      <xdr:rowOff>152400</xdr:rowOff>
    </xdr:to>
    <xdr:sp>
      <xdr:nvSpPr>
        <xdr:cNvPr id="48" name="Прямоугольник 59"/>
        <xdr:cNvSpPr>
          <a:spLocks/>
        </xdr:cNvSpPr>
      </xdr:nvSpPr>
      <xdr:spPr>
        <a:xfrm>
          <a:off x="171450" y="97155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4</xdr:row>
      <xdr:rowOff>133350</xdr:rowOff>
    </xdr:from>
    <xdr:to>
      <xdr:col>0</xdr:col>
      <xdr:colOff>219075</xdr:colOff>
      <xdr:row>5</xdr:row>
      <xdr:rowOff>66675</xdr:rowOff>
    </xdr:to>
    <xdr:sp>
      <xdr:nvSpPr>
        <xdr:cNvPr id="49" name="Прямоугольник 60"/>
        <xdr:cNvSpPr>
          <a:spLocks/>
        </xdr:cNvSpPr>
      </xdr:nvSpPr>
      <xdr:spPr>
        <a:xfrm>
          <a:off x="171450" y="10763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4</xdr:row>
      <xdr:rowOff>133350</xdr:rowOff>
    </xdr:from>
    <xdr:to>
      <xdr:col>0</xdr:col>
      <xdr:colOff>219075</xdr:colOff>
      <xdr:row>5</xdr:row>
      <xdr:rowOff>66675</xdr:rowOff>
    </xdr:to>
    <xdr:sp>
      <xdr:nvSpPr>
        <xdr:cNvPr id="50" name="Прямоугольник 61"/>
        <xdr:cNvSpPr>
          <a:spLocks/>
        </xdr:cNvSpPr>
      </xdr:nvSpPr>
      <xdr:spPr>
        <a:xfrm>
          <a:off x="171450" y="10763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142875</xdr:colOff>
      <xdr:row>3</xdr:row>
      <xdr:rowOff>38100</xdr:rowOff>
    </xdr:from>
    <xdr:to>
      <xdr:col>0</xdr:col>
      <xdr:colOff>209550</xdr:colOff>
      <xdr:row>4</xdr:row>
      <xdr:rowOff>0</xdr:rowOff>
    </xdr:to>
    <xdr:sp>
      <xdr:nvSpPr>
        <xdr:cNvPr id="51" name="Прямоугольник 62"/>
        <xdr:cNvSpPr>
          <a:spLocks/>
        </xdr:cNvSpPr>
      </xdr:nvSpPr>
      <xdr:spPr>
        <a:xfrm>
          <a:off x="142875" y="723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104775</xdr:colOff>
      <xdr:row>4</xdr:row>
      <xdr:rowOff>57150</xdr:rowOff>
    </xdr:from>
    <xdr:to>
      <xdr:col>0</xdr:col>
      <xdr:colOff>133350</xdr:colOff>
      <xdr:row>4</xdr:row>
      <xdr:rowOff>171450</xdr:rowOff>
    </xdr:to>
    <xdr:sp>
      <xdr:nvSpPr>
        <xdr:cNvPr id="52" name="Прямоугольник 63"/>
        <xdr:cNvSpPr>
          <a:spLocks/>
        </xdr:cNvSpPr>
      </xdr:nvSpPr>
      <xdr:spPr>
        <a:xfrm>
          <a:off x="104775" y="100012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5</xdr:row>
      <xdr:rowOff>28575</xdr:rowOff>
    </xdr:from>
    <xdr:to>
      <xdr:col>0</xdr:col>
      <xdr:colOff>219075</xdr:colOff>
      <xdr:row>5</xdr:row>
      <xdr:rowOff>152400</xdr:rowOff>
    </xdr:to>
    <xdr:sp>
      <xdr:nvSpPr>
        <xdr:cNvPr id="53" name="Прямоугольник 64"/>
        <xdr:cNvSpPr>
          <a:spLocks/>
        </xdr:cNvSpPr>
      </xdr:nvSpPr>
      <xdr:spPr>
        <a:xfrm>
          <a:off x="171450" y="11525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104775</xdr:colOff>
      <xdr:row>7</xdr:row>
      <xdr:rowOff>85725</xdr:rowOff>
    </xdr:from>
    <xdr:to>
      <xdr:col>0</xdr:col>
      <xdr:colOff>152400</xdr:colOff>
      <xdr:row>8</xdr:row>
      <xdr:rowOff>76200</xdr:rowOff>
    </xdr:to>
    <xdr:sp>
      <xdr:nvSpPr>
        <xdr:cNvPr id="54" name="Прямоугольник 65"/>
        <xdr:cNvSpPr>
          <a:spLocks/>
        </xdr:cNvSpPr>
      </xdr:nvSpPr>
      <xdr:spPr>
        <a:xfrm>
          <a:off x="104775" y="2295525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171450</xdr:colOff>
      <xdr:row>3</xdr:row>
      <xdr:rowOff>85725</xdr:rowOff>
    </xdr:from>
    <xdr:to>
      <xdr:col>0</xdr:col>
      <xdr:colOff>219075</xdr:colOff>
      <xdr:row>4</xdr:row>
      <xdr:rowOff>38100</xdr:rowOff>
    </xdr:to>
    <xdr:sp>
      <xdr:nvSpPr>
        <xdr:cNvPr id="55" name="Прямоугольник 66"/>
        <xdr:cNvSpPr>
          <a:spLocks/>
        </xdr:cNvSpPr>
      </xdr:nvSpPr>
      <xdr:spPr>
        <a:xfrm>
          <a:off x="171450" y="7715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</xdr:row>
      <xdr:rowOff>28575</xdr:rowOff>
    </xdr:from>
    <xdr:to>
      <xdr:col>0</xdr:col>
      <xdr:colOff>180975</xdr:colOff>
      <xdr:row>4</xdr:row>
      <xdr:rowOff>142875</xdr:rowOff>
    </xdr:to>
    <xdr:sp>
      <xdr:nvSpPr>
        <xdr:cNvPr id="56" name="Прямоугольник 67"/>
        <xdr:cNvSpPr>
          <a:spLocks/>
        </xdr:cNvSpPr>
      </xdr:nvSpPr>
      <xdr:spPr>
        <a:xfrm>
          <a:off x="152400" y="97155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171450</xdr:colOff>
      <xdr:row>4</xdr:row>
      <xdr:rowOff>28575</xdr:rowOff>
    </xdr:from>
    <xdr:to>
      <xdr:col>0</xdr:col>
      <xdr:colOff>219075</xdr:colOff>
      <xdr:row>4</xdr:row>
      <xdr:rowOff>152400</xdr:rowOff>
    </xdr:to>
    <xdr:sp>
      <xdr:nvSpPr>
        <xdr:cNvPr id="57" name="Прямоугольник 68"/>
        <xdr:cNvSpPr>
          <a:spLocks/>
        </xdr:cNvSpPr>
      </xdr:nvSpPr>
      <xdr:spPr>
        <a:xfrm>
          <a:off x="171450" y="97155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4</xdr:row>
      <xdr:rowOff>133350</xdr:rowOff>
    </xdr:from>
    <xdr:to>
      <xdr:col>0</xdr:col>
      <xdr:colOff>219075</xdr:colOff>
      <xdr:row>5</xdr:row>
      <xdr:rowOff>66675</xdr:rowOff>
    </xdr:to>
    <xdr:sp>
      <xdr:nvSpPr>
        <xdr:cNvPr id="58" name="Прямоугольник 69"/>
        <xdr:cNvSpPr>
          <a:spLocks/>
        </xdr:cNvSpPr>
      </xdr:nvSpPr>
      <xdr:spPr>
        <a:xfrm>
          <a:off x="171450" y="10763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4</xdr:row>
      <xdr:rowOff>133350</xdr:rowOff>
    </xdr:from>
    <xdr:to>
      <xdr:col>0</xdr:col>
      <xdr:colOff>219075</xdr:colOff>
      <xdr:row>5</xdr:row>
      <xdr:rowOff>66675</xdr:rowOff>
    </xdr:to>
    <xdr:sp>
      <xdr:nvSpPr>
        <xdr:cNvPr id="59" name="Прямоугольник 70"/>
        <xdr:cNvSpPr>
          <a:spLocks/>
        </xdr:cNvSpPr>
      </xdr:nvSpPr>
      <xdr:spPr>
        <a:xfrm>
          <a:off x="171450" y="10763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104775</xdr:colOff>
      <xdr:row>7</xdr:row>
      <xdr:rowOff>85725</xdr:rowOff>
    </xdr:from>
    <xdr:to>
      <xdr:col>0</xdr:col>
      <xdr:colOff>152400</xdr:colOff>
      <xdr:row>8</xdr:row>
      <xdr:rowOff>76200</xdr:rowOff>
    </xdr:to>
    <xdr:sp>
      <xdr:nvSpPr>
        <xdr:cNvPr id="60" name="Прямоугольник 71"/>
        <xdr:cNvSpPr>
          <a:spLocks/>
        </xdr:cNvSpPr>
      </xdr:nvSpPr>
      <xdr:spPr>
        <a:xfrm>
          <a:off x="104775" y="2295525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180975</xdr:colOff>
      <xdr:row>3</xdr:row>
      <xdr:rowOff>76200</xdr:rowOff>
    </xdr:from>
    <xdr:to>
      <xdr:col>0</xdr:col>
      <xdr:colOff>209550</xdr:colOff>
      <xdr:row>4</xdr:row>
      <xdr:rowOff>38100</xdr:rowOff>
    </xdr:to>
    <xdr:sp>
      <xdr:nvSpPr>
        <xdr:cNvPr id="61" name="Прямоугольник 72"/>
        <xdr:cNvSpPr>
          <a:spLocks/>
        </xdr:cNvSpPr>
      </xdr:nvSpPr>
      <xdr:spPr>
        <a:xfrm>
          <a:off x="180975" y="762000"/>
          <a:ext cx="19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</xdr:row>
      <xdr:rowOff>47625</xdr:rowOff>
    </xdr:from>
    <xdr:to>
      <xdr:col>0</xdr:col>
      <xdr:colOff>180975</xdr:colOff>
      <xdr:row>4</xdr:row>
      <xdr:rowOff>161925</xdr:rowOff>
    </xdr:to>
    <xdr:sp>
      <xdr:nvSpPr>
        <xdr:cNvPr id="62" name="Прямоугольник 73"/>
        <xdr:cNvSpPr>
          <a:spLocks/>
        </xdr:cNvSpPr>
      </xdr:nvSpPr>
      <xdr:spPr>
        <a:xfrm>
          <a:off x="152400" y="99060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180975</xdr:colOff>
      <xdr:row>4</xdr:row>
      <xdr:rowOff>38100</xdr:rowOff>
    </xdr:from>
    <xdr:to>
      <xdr:col>0</xdr:col>
      <xdr:colOff>209550</xdr:colOff>
      <xdr:row>4</xdr:row>
      <xdr:rowOff>152400</xdr:rowOff>
    </xdr:to>
    <xdr:sp>
      <xdr:nvSpPr>
        <xdr:cNvPr id="63" name="Прямоугольник 74"/>
        <xdr:cNvSpPr>
          <a:spLocks/>
        </xdr:cNvSpPr>
      </xdr:nvSpPr>
      <xdr:spPr>
        <a:xfrm>
          <a:off x="180975" y="98107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4</xdr:row>
      <xdr:rowOff>133350</xdr:rowOff>
    </xdr:from>
    <xdr:to>
      <xdr:col>0</xdr:col>
      <xdr:colOff>209550</xdr:colOff>
      <xdr:row>5</xdr:row>
      <xdr:rowOff>66675</xdr:rowOff>
    </xdr:to>
    <xdr:sp>
      <xdr:nvSpPr>
        <xdr:cNvPr id="64" name="Прямоугольник 75"/>
        <xdr:cNvSpPr>
          <a:spLocks/>
        </xdr:cNvSpPr>
      </xdr:nvSpPr>
      <xdr:spPr>
        <a:xfrm>
          <a:off x="180975" y="107632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4</xdr:row>
      <xdr:rowOff>133350</xdr:rowOff>
    </xdr:from>
    <xdr:to>
      <xdr:col>0</xdr:col>
      <xdr:colOff>209550</xdr:colOff>
      <xdr:row>5</xdr:row>
      <xdr:rowOff>66675</xdr:rowOff>
    </xdr:to>
    <xdr:sp>
      <xdr:nvSpPr>
        <xdr:cNvPr id="65" name="Прямоугольник 76"/>
        <xdr:cNvSpPr>
          <a:spLocks/>
        </xdr:cNvSpPr>
      </xdr:nvSpPr>
      <xdr:spPr>
        <a:xfrm>
          <a:off x="180975" y="107632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85725</xdr:rowOff>
    </xdr:from>
    <xdr:to>
      <xdr:col>0</xdr:col>
      <xdr:colOff>133350</xdr:colOff>
      <xdr:row>8</xdr:row>
      <xdr:rowOff>76200</xdr:rowOff>
    </xdr:to>
    <xdr:sp>
      <xdr:nvSpPr>
        <xdr:cNvPr id="66" name="Прямоугольник 77"/>
        <xdr:cNvSpPr>
          <a:spLocks/>
        </xdr:cNvSpPr>
      </xdr:nvSpPr>
      <xdr:spPr>
        <a:xfrm>
          <a:off x="85725" y="22955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180975</xdr:colOff>
      <xdr:row>3</xdr:row>
      <xdr:rowOff>76200</xdr:rowOff>
    </xdr:from>
    <xdr:to>
      <xdr:col>0</xdr:col>
      <xdr:colOff>209550</xdr:colOff>
      <xdr:row>4</xdr:row>
      <xdr:rowOff>38100</xdr:rowOff>
    </xdr:to>
    <xdr:sp>
      <xdr:nvSpPr>
        <xdr:cNvPr id="67" name="Прямоугольник 78"/>
        <xdr:cNvSpPr>
          <a:spLocks/>
        </xdr:cNvSpPr>
      </xdr:nvSpPr>
      <xdr:spPr>
        <a:xfrm>
          <a:off x="180975" y="762000"/>
          <a:ext cx="19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</xdr:row>
      <xdr:rowOff>47625</xdr:rowOff>
    </xdr:from>
    <xdr:to>
      <xdr:col>0</xdr:col>
      <xdr:colOff>180975</xdr:colOff>
      <xdr:row>4</xdr:row>
      <xdr:rowOff>161925</xdr:rowOff>
    </xdr:to>
    <xdr:sp>
      <xdr:nvSpPr>
        <xdr:cNvPr id="68" name="Прямоугольник 79"/>
        <xdr:cNvSpPr>
          <a:spLocks/>
        </xdr:cNvSpPr>
      </xdr:nvSpPr>
      <xdr:spPr>
        <a:xfrm>
          <a:off x="152400" y="99060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180975</xdr:colOff>
      <xdr:row>4</xdr:row>
      <xdr:rowOff>38100</xdr:rowOff>
    </xdr:from>
    <xdr:to>
      <xdr:col>0</xdr:col>
      <xdr:colOff>209550</xdr:colOff>
      <xdr:row>4</xdr:row>
      <xdr:rowOff>152400</xdr:rowOff>
    </xdr:to>
    <xdr:sp>
      <xdr:nvSpPr>
        <xdr:cNvPr id="69" name="Прямоугольник 80"/>
        <xdr:cNvSpPr>
          <a:spLocks/>
        </xdr:cNvSpPr>
      </xdr:nvSpPr>
      <xdr:spPr>
        <a:xfrm>
          <a:off x="180975" y="98107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4</xdr:row>
      <xdr:rowOff>133350</xdr:rowOff>
    </xdr:from>
    <xdr:to>
      <xdr:col>0</xdr:col>
      <xdr:colOff>209550</xdr:colOff>
      <xdr:row>5</xdr:row>
      <xdr:rowOff>66675</xdr:rowOff>
    </xdr:to>
    <xdr:sp>
      <xdr:nvSpPr>
        <xdr:cNvPr id="70" name="Прямоугольник 81"/>
        <xdr:cNvSpPr>
          <a:spLocks/>
        </xdr:cNvSpPr>
      </xdr:nvSpPr>
      <xdr:spPr>
        <a:xfrm>
          <a:off x="180975" y="107632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4</xdr:row>
      <xdr:rowOff>133350</xdr:rowOff>
    </xdr:from>
    <xdr:to>
      <xdr:col>0</xdr:col>
      <xdr:colOff>209550</xdr:colOff>
      <xdr:row>5</xdr:row>
      <xdr:rowOff>66675</xdr:rowOff>
    </xdr:to>
    <xdr:sp>
      <xdr:nvSpPr>
        <xdr:cNvPr id="71" name="Прямоугольник 82"/>
        <xdr:cNvSpPr>
          <a:spLocks/>
        </xdr:cNvSpPr>
      </xdr:nvSpPr>
      <xdr:spPr>
        <a:xfrm>
          <a:off x="180975" y="107632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85725</xdr:rowOff>
    </xdr:from>
    <xdr:to>
      <xdr:col>0</xdr:col>
      <xdr:colOff>133350</xdr:colOff>
      <xdr:row>8</xdr:row>
      <xdr:rowOff>76200</xdr:rowOff>
    </xdr:to>
    <xdr:sp>
      <xdr:nvSpPr>
        <xdr:cNvPr id="72" name="Прямоугольник 83"/>
        <xdr:cNvSpPr>
          <a:spLocks/>
        </xdr:cNvSpPr>
      </xdr:nvSpPr>
      <xdr:spPr>
        <a:xfrm>
          <a:off x="85725" y="22955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180975</xdr:colOff>
      <xdr:row>0</xdr:row>
      <xdr:rowOff>38100</xdr:rowOff>
    </xdr:from>
    <xdr:to>
      <xdr:col>0</xdr:col>
      <xdr:colOff>209550</xdr:colOff>
      <xdr:row>1</xdr:row>
      <xdr:rowOff>323850</xdr:rowOff>
    </xdr:to>
    <xdr:sp>
      <xdr:nvSpPr>
        <xdr:cNvPr id="73" name="Прямоугольник 84"/>
        <xdr:cNvSpPr>
          <a:spLocks/>
        </xdr:cNvSpPr>
      </xdr:nvSpPr>
      <xdr:spPr>
        <a:xfrm>
          <a:off x="180975" y="38100"/>
          <a:ext cx="19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2</xdr:row>
      <xdr:rowOff>133350</xdr:rowOff>
    </xdr:from>
    <xdr:to>
      <xdr:col>0</xdr:col>
      <xdr:colOff>209550</xdr:colOff>
      <xdr:row>3</xdr:row>
      <xdr:rowOff>76200</xdr:rowOff>
    </xdr:to>
    <xdr:sp>
      <xdr:nvSpPr>
        <xdr:cNvPr id="74" name="Прямоугольник 85"/>
        <xdr:cNvSpPr>
          <a:spLocks/>
        </xdr:cNvSpPr>
      </xdr:nvSpPr>
      <xdr:spPr>
        <a:xfrm>
          <a:off x="180975" y="638175"/>
          <a:ext cx="190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2</xdr:row>
      <xdr:rowOff>133350</xdr:rowOff>
    </xdr:from>
    <xdr:to>
      <xdr:col>0</xdr:col>
      <xdr:colOff>209550</xdr:colOff>
      <xdr:row>3</xdr:row>
      <xdr:rowOff>76200</xdr:rowOff>
    </xdr:to>
    <xdr:sp>
      <xdr:nvSpPr>
        <xdr:cNvPr id="75" name="Прямоугольник 86"/>
        <xdr:cNvSpPr>
          <a:spLocks/>
        </xdr:cNvSpPr>
      </xdr:nvSpPr>
      <xdr:spPr>
        <a:xfrm>
          <a:off x="180975" y="638175"/>
          <a:ext cx="190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3</xdr:row>
      <xdr:rowOff>76200</xdr:rowOff>
    </xdr:from>
    <xdr:to>
      <xdr:col>0</xdr:col>
      <xdr:colOff>209550</xdr:colOff>
      <xdr:row>4</xdr:row>
      <xdr:rowOff>38100</xdr:rowOff>
    </xdr:to>
    <xdr:sp>
      <xdr:nvSpPr>
        <xdr:cNvPr id="76" name="Прямоугольник 87"/>
        <xdr:cNvSpPr>
          <a:spLocks/>
        </xdr:cNvSpPr>
      </xdr:nvSpPr>
      <xdr:spPr>
        <a:xfrm>
          <a:off x="180975" y="762000"/>
          <a:ext cx="19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</xdr:row>
      <xdr:rowOff>47625</xdr:rowOff>
    </xdr:from>
    <xdr:to>
      <xdr:col>0</xdr:col>
      <xdr:colOff>180975</xdr:colOff>
      <xdr:row>4</xdr:row>
      <xdr:rowOff>161925</xdr:rowOff>
    </xdr:to>
    <xdr:sp>
      <xdr:nvSpPr>
        <xdr:cNvPr id="77" name="Прямоугольник 88"/>
        <xdr:cNvSpPr>
          <a:spLocks/>
        </xdr:cNvSpPr>
      </xdr:nvSpPr>
      <xdr:spPr>
        <a:xfrm>
          <a:off x="152400" y="99060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180975</xdr:colOff>
      <xdr:row>4</xdr:row>
      <xdr:rowOff>38100</xdr:rowOff>
    </xdr:from>
    <xdr:to>
      <xdr:col>0</xdr:col>
      <xdr:colOff>209550</xdr:colOff>
      <xdr:row>4</xdr:row>
      <xdr:rowOff>152400</xdr:rowOff>
    </xdr:to>
    <xdr:sp>
      <xdr:nvSpPr>
        <xdr:cNvPr id="78" name="Прямоугольник 89"/>
        <xdr:cNvSpPr>
          <a:spLocks/>
        </xdr:cNvSpPr>
      </xdr:nvSpPr>
      <xdr:spPr>
        <a:xfrm>
          <a:off x="180975" y="98107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4</xdr:row>
      <xdr:rowOff>133350</xdr:rowOff>
    </xdr:from>
    <xdr:to>
      <xdr:col>0</xdr:col>
      <xdr:colOff>209550</xdr:colOff>
      <xdr:row>5</xdr:row>
      <xdr:rowOff>66675</xdr:rowOff>
    </xdr:to>
    <xdr:sp>
      <xdr:nvSpPr>
        <xdr:cNvPr id="79" name="Прямоугольник 90"/>
        <xdr:cNvSpPr>
          <a:spLocks/>
        </xdr:cNvSpPr>
      </xdr:nvSpPr>
      <xdr:spPr>
        <a:xfrm>
          <a:off x="180975" y="107632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4</xdr:row>
      <xdr:rowOff>133350</xdr:rowOff>
    </xdr:from>
    <xdr:to>
      <xdr:col>0</xdr:col>
      <xdr:colOff>209550</xdr:colOff>
      <xdr:row>5</xdr:row>
      <xdr:rowOff>66675</xdr:rowOff>
    </xdr:to>
    <xdr:sp>
      <xdr:nvSpPr>
        <xdr:cNvPr id="80" name="Прямоугольник 91"/>
        <xdr:cNvSpPr>
          <a:spLocks/>
        </xdr:cNvSpPr>
      </xdr:nvSpPr>
      <xdr:spPr>
        <a:xfrm>
          <a:off x="180975" y="107632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133350</xdr:colOff>
      <xdr:row>3</xdr:row>
      <xdr:rowOff>47625</xdr:rowOff>
    </xdr:from>
    <xdr:to>
      <xdr:col>0</xdr:col>
      <xdr:colOff>152400</xdr:colOff>
      <xdr:row>4</xdr:row>
      <xdr:rowOff>9525</xdr:rowOff>
    </xdr:to>
    <xdr:sp>
      <xdr:nvSpPr>
        <xdr:cNvPr id="81" name="Прямоугольник 92"/>
        <xdr:cNvSpPr>
          <a:spLocks/>
        </xdr:cNvSpPr>
      </xdr:nvSpPr>
      <xdr:spPr>
        <a:xfrm>
          <a:off x="133350" y="733425"/>
          <a:ext cx="19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104775</xdr:colOff>
      <xdr:row>4</xdr:row>
      <xdr:rowOff>57150</xdr:rowOff>
    </xdr:from>
    <xdr:to>
      <xdr:col>0</xdr:col>
      <xdr:colOff>133350</xdr:colOff>
      <xdr:row>4</xdr:row>
      <xdr:rowOff>171450</xdr:rowOff>
    </xdr:to>
    <xdr:sp>
      <xdr:nvSpPr>
        <xdr:cNvPr id="82" name="Прямоугольник 93"/>
        <xdr:cNvSpPr>
          <a:spLocks/>
        </xdr:cNvSpPr>
      </xdr:nvSpPr>
      <xdr:spPr>
        <a:xfrm>
          <a:off x="104775" y="100012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5</xdr:row>
      <xdr:rowOff>19050</xdr:rowOff>
    </xdr:from>
    <xdr:to>
      <xdr:col>0</xdr:col>
      <xdr:colOff>209550</xdr:colOff>
      <xdr:row>5</xdr:row>
      <xdr:rowOff>152400</xdr:rowOff>
    </xdr:to>
    <xdr:sp>
      <xdr:nvSpPr>
        <xdr:cNvPr id="83" name="Прямоугольник 94"/>
        <xdr:cNvSpPr>
          <a:spLocks/>
        </xdr:cNvSpPr>
      </xdr:nvSpPr>
      <xdr:spPr>
        <a:xfrm>
          <a:off x="180975" y="11430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85725</xdr:rowOff>
    </xdr:from>
    <xdr:to>
      <xdr:col>0</xdr:col>
      <xdr:colOff>133350</xdr:colOff>
      <xdr:row>8</xdr:row>
      <xdr:rowOff>76200</xdr:rowOff>
    </xdr:to>
    <xdr:sp>
      <xdr:nvSpPr>
        <xdr:cNvPr id="84" name="Прямоугольник 95"/>
        <xdr:cNvSpPr>
          <a:spLocks/>
        </xdr:cNvSpPr>
      </xdr:nvSpPr>
      <xdr:spPr>
        <a:xfrm>
          <a:off x="85725" y="22955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180975</xdr:colOff>
      <xdr:row>3</xdr:row>
      <xdr:rowOff>76200</xdr:rowOff>
    </xdr:from>
    <xdr:to>
      <xdr:col>0</xdr:col>
      <xdr:colOff>209550</xdr:colOff>
      <xdr:row>4</xdr:row>
      <xdr:rowOff>38100</xdr:rowOff>
    </xdr:to>
    <xdr:sp>
      <xdr:nvSpPr>
        <xdr:cNvPr id="85" name="Прямоугольник 96"/>
        <xdr:cNvSpPr>
          <a:spLocks/>
        </xdr:cNvSpPr>
      </xdr:nvSpPr>
      <xdr:spPr>
        <a:xfrm>
          <a:off x="180975" y="762000"/>
          <a:ext cx="19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</xdr:row>
      <xdr:rowOff>47625</xdr:rowOff>
    </xdr:from>
    <xdr:to>
      <xdr:col>0</xdr:col>
      <xdr:colOff>180975</xdr:colOff>
      <xdr:row>4</xdr:row>
      <xdr:rowOff>161925</xdr:rowOff>
    </xdr:to>
    <xdr:sp>
      <xdr:nvSpPr>
        <xdr:cNvPr id="86" name="Прямоугольник 97"/>
        <xdr:cNvSpPr>
          <a:spLocks/>
        </xdr:cNvSpPr>
      </xdr:nvSpPr>
      <xdr:spPr>
        <a:xfrm>
          <a:off x="152400" y="99060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180975</xdr:colOff>
      <xdr:row>4</xdr:row>
      <xdr:rowOff>38100</xdr:rowOff>
    </xdr:from>
    <xdr:to>
      <xdr:col>0</xdr:col>
      <xdr:colOff>209550</xdr:colOff>
      <xdr:row>4</xdr:row>
      <xdr:rowOff>152400</xdr:rowOff>
    </xdr:to>
    <xdr:sp>
      <xdr:nvSpPr>
        <xdr:cNvPr id="87" name="Прямоугольник 98"/>
        <xdr:cNvSpPr>
          <a:spLocks/>
        </xdr:cNvSpPr>
      </xdr:nvSpPr>
      <xdr:spPr>
        <a:xfrm>
          <a:off x="180975" y="98107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4</xdr:row>
      <xdr:rowOff>133350</xdr:rowOff>
    </xdr:from>
    <xdr:to>
      <xdr:col>0</xdr:col>
      <xdr:colOff>209550</xdr:colOff>
      <xdr:row>5</xdr:row>
      <xdr:rowOff>66675</xdr:rowOff>
    </xdr:to>
    <xdr:sp>
      <xdr:nvSpPr>
        <xdr:cNvPr id="88" name="Прямоугольник 99"/>
        <xdr:cNvSpPr>
          <a:spLocks/>
        </xdr:cNvSpPr>
      </xdr:nvSpPr>
      <xdr:spPr>
        <a:xfrm>
          <a:off x="180975" y="107632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4</xdr:row>
      <xdr:rowOff>133350</xdr:rowOff>
    </xdr:from>
    <xdr:to>
      <xdr:col>0</xdr:col>
      <xdr:colOff>209550</xdr:colOff>
      <xdr:row>5</xdr:row>
      <xdr:rowOff>66675</xdr:rowOff>
    </xdr:to>
    <xdr:sp>
      <xdr:nvSpPr>
        <xdr:cNvPr id="89" name="Прямоугольник 100"/>
        <xdr:cNvSpPr>
          <a:spLocks/>
        </xdr:cNvSpPr>
      </xdr:nvSpPr>
      <xdr:spPr>
        <a:xfrm>
          <a:off x="180975" y="107632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85725</xdr:rowOff>
    </xdr:from>
    <xdr:to>
      <xdr:col>0</xdr:col>
      <xdr:colOff>133350</xdr:colOff>
      <xdr:row>8</xdr:row>
      <xdr:rowOff>76200</xdr:rowOff>
    </xdr:to>
    <xdr:sp>
      <xdr:nvSpPr>
        <xdr:cNvPr id="90" name="Прямоугольник 101"/>
        <xdr:cNvSpPr>
          <a:spLocks/>
        </xdr:cNvSpPr>
      </xdr:nvSpPr>
      <xdr:spPr>
        <a:xfrm>
          <a:off x="85725" y="22955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180975</xdr:colOff>
      <xdr:row>3</xdr:row>
      <xdr:rowOff>85725</xdr:rowOff>
    </xdr:from>
    <xdr:to>
      <xdr:col>0</xdr:col>
      <xdr:colOff>209550</xdr:colOff>
      <xdr:row>4</xdr:row>
      <xdr:rowOff>38100</xdr:rowOff>
    </xdr:to>
    <xdr:sp>
      <xdr:nvSpPr>
        <xdr:cNvPr id="91" name="Прямоугольник 102"/>
        <xdr:cNvSpPr>
          <a:spLocks/>
        </xdr:cNvSpPr>
      </xdr:nvSpPr>
      <xdr:spPr>
        <a:xfrm>
          <a:off x="180975" y="771525"/>
          <a:ext cx="19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</xdr:row>
      <xdr:rowOff>47625</xdr:rowOff>
    </xdr:from>
    <xdr:to>
      <xdr:col>0</xdr:col>
      <xdr:colOff>180975</xdr:colOff>
      <xdr:row>4</xdr:row>
      <xdr:rowOff>161925</xdr:rowOff>
    </xdr:to>
    <xdr:sp>
      <xdr:nvSpPr>
        <xdr:cNvPr id="92" name="Прямоугольник 103"/>
        <xdr:cNvSpPr>
          <a:spLocks/>
        </xdr:cNvSpPr>
      </xdr:nvSpPr>
      <xdr:spPr>
        <a:xfrm>
          <a:off x="152400" y="99060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180975</xdr:colOff>
      <xdr:row>4</xdr:row>
      <xdr:rowOff>38100</xdr:rowOff>
    </xdr:from>
    <xdr:to>
      <xdr:col>0</xdr:col>
      <xdr:colOff>209550</xdr:colOff>
      <xdr:row>4</xdr:row>
      <xdr:rowOff>152400</xdr:rowOff>
    </xdr:to>
    <xdr:sp>
      <xdr:nvSpPr>
        <xdr:cNvPr id="93" name="Прямоугольник 104"/>
        <xdr:cNvSpPr>
          <a:spLocks/>
        </xdr:cNvSpPr>
      </xdr:nvSpPr>
      <xdr:spPr>
        <a:xfrm>
          <a:off x="180975" y="98107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4</xdr:row>
      <xdr:rowOff>133350</xdr:rowOff>
    </xdr:from>
    <xdr:to>
      <xdr:col>0</xdr:col>
      <xdr:colOff>209550</xdr:colOff>
      <xdr:row>5</xdr:row>
      <xdr:rowOff>66675</xdr:rowOff>
    </xdr:to>
    <xdr:sp>
      <xdr:nvSpPr>
        <xdr:cNvPr id="94" name="Прямоугольник 105"/>
        <xdr:cNvSpPr>
          <a:spLocks/>
        </xdr:cNvSpPr>
      </xdr:nvSpPr>
      <xdr:spPr>
        <a:xfrm>
          <a:off x="180975" y="107632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4</xdr:row>
      <xdr:rowOff>133350</xdr:rowOff>
    </xdr:from>
    <xdr:to>
      <xdr:col>0</xdr:col>
      <xdr:colOff>209550</xdr:colOff>
      <xdr:row>5</xdr:row>
      <xdr:rowOff>66675</xdr:rowOff>
    </xdr:to>
    <xdr:sp>
      <xdr:nvSpPr>
        <xdr:cNvPr id="95" name="Прямоугольник 106"/>
        <xdr:cNvSpPr>
          <a:spLocks/>
        </xdr:cNvSpPr>
      </xdr:nvSpPr>
      <xdr:spPr>
        <a:xfrm>
          <a:off x="180975" y="107632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85725</xdr:rowOff>
    </xdr:from>
    <xdr:to>
      <xdr:col>0</xdr:col>
      <xdr:colOff>133350</xdr:colOff>
      <xdr:row>8</xdr:row>
      <xdr:rowOff>76200</xdr:rowOff>
    </xdr:to>
    <xdr:sp>
      <xdr:nvSpPr>
        <xdr:cNvPr id="96" name="Прямоугольник 107"/>
        <xdr:cNvSpPr>
          <a:spLocks/>
        </xdr:cNvSpPr>
      </xdr:nvSpPr>
      <xdr:spPr>
        <a:xfrm>
          <a:off x="85725" y="22955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180975</xdr:colOff>
      <xdr:row>3</xdr:row>
      <xdr:rowOff>85725</xdr:rowOff>
    </xdr:from>
    <xdr:to>
      <xdr:col>0</xdr:col>
      <xdr:colOff>209550</xdr:colOff>
      <xdr:row>4</xdr:row>
      <xdr:rowOff>38100</xdr:rowOff>
    </xdr:to>
    <xdr:sp>
      <xdr:nvSpPr>
        <xdr:cNvPr id="97" name="Прямоугольник 108"/>
        <xdr:cNvSpPr>
          <a:spLocks/>
        </xdr:cNvSpPr>
      </xdr:nvSpPr>
      <xdr:spPr>
        <a:xfrm>
          <a:off x="180975" y="771525"/>
          <a:ext cx="19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</xdr:row>
      <xdr:rowOff>47625</xdr:rowOff>
    </xdr:from>
    <xdr:to>
      <xdr:col>0</xdr:col>
      <xdr:colOff>180975</xdr:colOff>
      <xdr:row>4</xdr:row>
      <xdr:rowOff>161925</xdr:rowOff>
    </xdr:to>
    <xdr:sp>
      <xdr:nvSpPr>
        <xdr:cNvPr id="98" name="Прямоугольник 109"/>
        <xdr:cNvSpPr>
          <a:spLocks/>
        </xdr:cNvSpPr>
      </xdr:nvSpPr>
      <xdr:spPr>
        <a:xfrm>
          <a:off x="152400" y="99060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180975</xdr:colOff>
      <xdr:row>4</xdr:row>
      <xdr:rowOff>38100</xdr:rowOff>
    </xdr:from>
    <xdr:to>
      <xdr:col>0</xdr:col>
      <xdr:colOff>209550</xdr:colOff>
      <xdr:row>4</xdr:row>
      <xdr:rowOff>152400</xdr:rowOff>
    </xdr:to>
    <xdr:sp>
      <xdr:nvSpPr>
        <xdr:cNvPr id="99" name="Прямоугольник 110"/>
        <xdr:cNvSpPr>
          <a:spLocks/>
        </xdr:cNvSpPr>
      </xdr:nvSpPr>
      <xdr:spPr>
        <a:xfrm>
          <a:off x="180975" y="98107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4</xdr:row>
      <xdr:rowOff>133350</xdr:rowOff>
    </xdr:from>
    <xdr:to>
      <xdr:col>0</xdr:col>
      <xdr:colOff>209550</xdr:colOff>
      <xdr:row>5</xdr:row>
      <xdr:rowOff>66675</xdr:rowOff>
    </xdr:to>
    <xdr:sp>
      <xdr:nvSpPr>
        <xdr:cNvPr id="100" name="Прямоугольник 111"/>
        <xdr:cNvSpPr>
          <a:spLocks/>
        </xdr:cNvSpPr>
      </xdr:nvSpPr>
      <xdr:spPr>
        <a:xfrm>
          <a:off x="180975" y="107632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4</xdr:row>
      <xdr:rowOff>133350</xdr:rowOff>
    </xdr:from>
    <xdr:to>
      <xdr:col>0</xdr:col>
      <xdr:colOff>209550</xdr:colOff>
      <xdr:row>5</xdr:row>
      <xdr:rowOff>66675</xdr:rowOff>
    </xdr:to>
    <xdr:sp>
      <xdr:nvSpPr>
        <xdr:cNvPr id="101" name="Прямоугольник 112"/>
        <xdr:cNvSpPr>
          <a:spLocks/>
        </xdr:cNvSpPr>
      </xdr:nvSpPr>
      <xdr:spPr>
        <a:xfrm>
          <a:off x="180975" y="107632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85725</xdr:rowOff>
    </xdr:from>
    <xdr:to>
      <xdr:col>0</xdr:col>
      <xdr:colOff>133350</xdr:colOff>
      <xdr:row>8</xdr:row>
      <xdr:rowOff>76200</xdr:rowOff>
    </xdr:to>
    <xdr:sp>
      <xdr:nvSpPr>
        <xdr:cNvPr id="102" name="Прямоугольник 113"/>
        <xdr:cNvSpPr>
          <a:spLocks/>
        </xdr:cNvSpPr>
      </xdr:nvSpPr>
      <xdr:spPr>
        <a:xfrm>
          <a:off x="85725" y="22955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180975</xdr:colOff>
      <xdr:row>0</xdr:row>
      <xdr:rowOff>38100</xdr:rowOff>
    </xdr:from>
    <xdr:to>
      <xdr:col>0</xdr:col>
      <xdr:colOff>209550</xdr:colOff>
      <xdr:row>1</xdr:row>
      <xdr:rowOff>323850</xdr:rowOff>
    </xdr:to>
    <xdr:sp>
      <xdr:nvSpPr>
        <xdr:cNvPr id="103" name="Прямоугольник 114"/>
        <xdr:cNvSpPr>
          <a:spLocks/>
        </xdr:cNvSpPr>
      </xdr:nvSpPr>
      <xdr:spPr>
        <a:xfrm>
          <a:off x="180975" y="38100"/>
          <a:ext cx="19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2</xdr:row>
      <xdr:rowOff>133350</xdr:rowOff>
    </xdr:from>
    <xdr:to>
      <xdr:col>0</xdr:col>
      <xdr:colOff>209550</xdr:colOff>
      <xdr:row>3</xdr:row>
      <xdr:rowOff>76200</xdr:rowOff>
    </xdr:to>
    <xdr:sp>
      <xdr:nvSpPr>
        <xdr:cNvPr id="104" name="Прямоугольник 115"/>
        <xdr:cNvSpPr>
          <a:spLocks/>
        </xdr:cNvSpPr>
      </xdr:nvSpPr>
      <xdr:spPr>
        <a:xfrm>
          <a:off x="180975" y="638175"/>
          <a:ext cx="190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2</xdr:row>
      <xdr:rowOff>133350</xdr:rowOff>
    </xdr:from>
    <xdr:to>
      <xdr:col>0</xdr:col>
      <xdr:colOff>209550</xdr:colOff>
      <xdr:row>3</xdr:row>
      <xdr:rowOff>76200</xdr:rowOff>
    </xdr:to>
    <xdr:sp>
      <xdr:nvSpPr>
        <xdr:cNvPr id="105" name="Прямоугольник 116"/>
        <xdr:cNvSpPr>
          <a:spLocks/>
        </xdr:cNvSpPr>
      </xdr:nvSpPr>
      <xdr:spPr>
        <a:xfrm>
          <a:off x="180975" y="638175"/>
          <a:ext cx="190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3</xdr:row>
      <xdr:rowOff>85725</xdr:rowOff>
    </xdr:from>
    <xdr:to>
      <xdr:col>0</xdr:col>
      <xdr:colOff>209550</xdr:colOff>
      <xdr:row>4</xdr:row>
      <xdr:rowOff>38100</xdr:rowOff>
    </xdr:to>
    <xdr:sp>
      <xdr:nvSpPr>
        <xdr:cNvPr id="106" name="Прямоугольник 117"/>
        <xdr:cNvSpPr>
          <a:spLocks/>
        </xdr:cNvSpPr>
      </xdr:nvSpPr>
      <xdr:spPr>
        <a:xfrm>
          <a:off x="180975" y="771525"/>
          <a:ext cx="19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</xdr:row>
      <xdr:rowOff>47625</xdr:rowOff>
    </xdr:from>
    <xdr:to>
      <xdr:col>0</xdr:col>
      <xdr:colOff>180975</xdr:colOff>
      <xdr:row>4</xdr:row>
      <xdr:rowOff>161925</xdr:rowOff>
    </xdr:to>
    <xdr:sp>
      <xdr:nvSpPr>
        <xdr:cNvPr id="107" name="Прямоугольник 118"/>
        <xdr:cNvSpPr>
          <a:spLocks/>
        </xdr:cNvSpPr>
      </xdr:nvSpPr>
      <xdr:spPr>
        <a:xfrm>
          <a:off x="152400" y="99060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180975</xdr:colOff>
      <xdr:row>4</xdr:row>
      <xdr:rowOff>38100</xdr:rowOff>
    </xdr:from>
    <xdr:to>
      <xdr:col>0</xdr:col>
      <xdr:colOff>209550</xdr:colOff>
      <xdr:row>4</xdr:row>
      <xdr:rowOff>152400</xdr:rowOff>
    </xdr:to>
    <xdr:sp>
      <xdr:nvSpPr>
        <xdr:cNvPr id="108" name="Прямоугольник 119"/>
        <xdr:cNvSpPr>
          <a:spLocks/>
        </xdr:cNvSpPr>
      </xdr:nvSpPr>
      <xdr:spPr>
        <a:xfrm>
          <a:off x="180975" y="98107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4</xdr:row>
      <xdr:rowOff>133350</xdr:rowOff>
    </xdr:from>
    <xdr:to>
      <xdr:col>0</xdr:col>
      <xdr:colOff>209550</xdr:colOff>
      <xdr:row>5</xdr:row>
      <xdr:rowOff>66675</xdr:rowOff>
    </xdr:to>
    <xdr:sp>
      <xdr:nvSpPr>
        <xdr:cNvPr id="109" name="Прямоугольник 120"/>
        <xdr:cNvSpPr>
          <a:spLocks/>
        </xdr:cNvSpPr>
      </xdr:nvSpPr>
      <xdr:spPr>
        <a:xfrm>
          <a:off x="180975" y="107632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4</xdr:row>
      <xdr:rowOff>133350</xdr:rowOff>
    </xdr:from>
    <xdr:to>
      <xdr:col>0</xdr:col>
      <xdr:colOff>209550</xdr:colOff>
      <xdr:row>5</xdr:row>
      <xdr:rowOff>66675</xdr:rowOff>
    </xdr:to>
    <xdr:sp>
      <xdr:nvSpPr>
        <xdr:cNvPr id="110" name="Прямоугольник 121"/>
        <xdr:cNvSpPr>
          <a:spLocks/>
        </xdr:cNvSpPr>
      </xdr:nvSpPr>
      <xdr:spPr>
        <a:xfrm>
          <a:off x="180975" y="107632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133350</xdr:colOff>
      <xdr:row>3</xdr:row>
      <xdr:rowOff>47625</xdr:rowOff>
    </xdr:from>
    <xdr:to>
      <xdr:col>0</xdr:col>
      <xdr:colOff>152400</xdr:colOff>
      <xdr:row>4</xdr:row>
      <xdr:rowOff>9525</xdr:rowOff>
    </xdr:to>
    <xdr:sp>
      <xdr:nvSpPr>
        <xdr:cNvPr id="111" name="Прямоугольник 122"/>
        <xdr:cNvSpPr>
          <a:spLocks/>
        </xdr:cNvSpPr>
      </xdr:nvSpPr>
      <xdr:spPr>
        <a:xfrm>
          <a:off x="133350" y="733425"/>
          <a:ext cx="19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104775</xdr:colOff>
      <xdr:row>4</xdr:row>
      <xdr:rowOff>57150</xdr:rowOff>
    </xdr:from>
    <xdr:to>
      <xdr:col>0</xdr:col>
      <xdr:colOff>133350</xdr:colOff>
      <xdr:row>4</xdr:row>
      <xdr:rowOff>171450</xdr:rowOff>
    </xdr:to>
    <xdr:sp>
      <xdr:nvSpPr>
        <xdr:cNvPr id="112" name="Прямоугольник 123"/>
        <xdr:cNvSpPr>
          <a:spLocks/>
        </xdr:cNvSpPr>
      </xdr:nvSpPr>
      <xdr:spPr>
        <a:xfrm>
          <a:off x="104775" y="100012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5</xdr:row>
      <xdr:rowOff>38100</xdr:rowOff>
    </xdr:from>
    <xdr:to>
      <xdr:col>0</xdr:col>
      <xdr:colOff>209550</xdr:colOff>
      <xdr:row>5</xdr:row>
      <xdr:rowOff>161925</xdr:rowOff>
    </xdr:to>
    <xdr:sp>
      <xdr:nvSpPr>
        <xdr:cNvPr id="113" name="Прямоугольник 124"/>
        <xdr:cNvSpPr>
          <a:spLocks/>
        </xdr:cNvSpPr>
      </xdr:nvSpPr>
      <xdr:spPr>
        <a:xfrm>
          <a:off x="180975" y="116205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209550</xdr:colOff>
      <xdr:row>7</xdr:row>
      <xdr:rowOff>57150</xdr:rowOff>
    </xdr:from>
    <xdr:to>
      <xdr:col>0</xdr:col>
      <xdr:colOff>247650</xdr:colOff>
      <xdr:row>8</xdr:row>
      <xdr:rowOff>47625</xdr:rowOff>
    </xdr:to>
    <xdr:sp>
      <xdr:nvSpPr>
        <xdr:cNvPr id="114" name="Прямоугольник 125"/>
        <xdr:cNvSpPr>
          <a:spLocks/>
        </xdr:cNvSpPr>
      </xdr:nvSpPr>
      <xdr:spPr>
        <a:xfrm>
          <a:off x="209550" y="2266950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180975</xdr:colOff>
      <xdr:row>3</xdr:row>
      <xdr:rowOff>85725</xdr:rowOff>
    </xdr:from>
    <xdr:to>
      <xdr:col>0</xdr:col>
      <xdr:colOff>209550</xdr:colOff>
      <xdr:row>4</xdr:row>
      <xdr:rowOff>38100</xdr:rowOff>
    </xdr:to>
    <xdr:sp>
      <xdr:nvSpPr>
        <xdr:cNvPr id="115" name="Прямоугольник 126"/>
        <xdr:cNvSpPr>
          <a:spLocks/>
        </xdr:cNvSpPr>
      </xdr:nvSpPr>
      <xdr:spPr>
        <a:xfrm>
          <a:off x="180975" y="771525"/>
          <a:ext cx="19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4</xdr:row>
      <xdr:rowOff>47625</xdr:rowOff>
    </xdr:from>
    <xdr:to>
      <xdr:col>0</xdr:col>
      <xdr:colOff>180975</xdr:colOff>
      <xdr:row>4</xdr:row>
      <xdr:rowOff>161925</xdr:rowOff>
    </xdr:to>
    <xdr:sp>
      <xdr:nvSpPr>
        <xdr:cNvPr id="116" name="Прямоугольник 127"/>
        <xdr:cNvSpPr>
          <a:spLocks/>
        </xdr:cNvSpPr>
      </xdr:nvSpPr>
      <xdr:spPr>
        <a:xfrm>
          <a:off x="152400" y="99060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180975</xdr:colOff>
      <xdr:row>4</xdr:row>
      <xdr:rowOff>38100</xdr:rowOff>
    </xdr:from>
    <xdr:to>
      <xdr:col>0</xdr:col>
      <xdr:colOff>209550</xdr:colOff>
      <xdr:row>4</xdr:row>
      <xdr:rowOff>152400</xdr:rowOff>
    </xdr:to>
    <xdr:sp>
      <xdr:nvSpPr>
        <xdr:cNvPr id="117" name="Прямоугольник 128"/>
        <xdr:cNvSpPr>
          <a:spLocks/>
        </xdr:cNvSpPr>
      </xdr:nvSpPr>
      <xdr:spPr>
        <a:xfrm>
          <a:off x="180975" y="98107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4</xdr:row>
      <xdr:rowOff>133350</xdr:rowOff>
    </xdr:from>
    <xdr:to>
      <xdr:col>0</xdr:col>
      <xdr:colOff>209550</xdr:colOff>
      <xdr:row>5</xdr:row>
      <xdr:rowOff>66675</xdr:rowOff>
    </xdr:to>
    <xdr:sp>
      <xdr:nvSpPr>
        <xdr:cNvPr id="118" name="Прямоугольник 129"/>
        <xdr:cNvSpPr>
          <a:spLocks/>
        </xdr:cNvSpPr>
      </xdr:nvSpPr>
      <xdr:spPr>
        <a:xfrm>
          <a:off x="180975" y="107632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4</xdr:row>
      <xdr:rowOff>133350</xdr:rowOff>
    </xdr:from>
    <xdr:to>
      <xdr:col>0</xdr:col>
      <xdr:colOff>209550</xdr:colOff>
      <xdr:row>5</xdr:row>
      <xdr:rowOff>66675</xdr:rowOff>
    </xdr:to>
    <xdr:sp>
      <xdr:nvSpPr>
        <xdr:cNvPr id="119" name="Прямоугольник 130"/>
        <xdr:cNvSpPr>
          <a:spLocks/>
        </xdr:cNvSpPr>
      </xdr:nvSpPr>
      <xdr:spPr>
        <a:xfrm>
          <a:off x="180975" y="1076325"/>
          <a:ext cx="19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85725</xdr:rowOff>
    </xdr:from>
    <xdr:to>
      <xdr:col>0</xdr:col>
      <xdr:colOff>133350</xdr:colOff>
      <xdr:row>8</xdr:row>
      <xdr:rowOff>76200</xdr:rowOff>
    </xdr:to>
    <xdr:sp>
      <xdr:nvSpPr>
        <xdr:cNvPr id="120" name="Прямоугольник 131"/>
        <xdr:cNvSpPr>
          <a:spLocks/>
        </xdr:cNvSpPr>
      </xdr:nvSpPr>
      <xdr:spPr>
        <a:xfrm>
          <a:off x="85725" y="22955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190500</xdr:colOff>
      <xdr:row>3</xdr:row>
      <xdr:rowOff>161925</xdr:rowOff>
    </xdr:to>
    <xdr:pic>
      <xdr:nvPicPr>
        <xdr:cNvPr id="12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6192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762000</xdr:colOff>
      <xdr:row>4</xdr:row>
      <xdr:rowOff>161925</xdr:rowOff>
    </xdr:from>
    <xdr:to>
      <xdr:col>7</xdr:col>
      <xdr:colOff>142875</xdr:colOff>
      <xdr:row>6</xdr:row>
      <xdr:rowOff>885825</xdr:rowOff>
    </xdr:to>
    <xdr:pic>
      <xdr:nvPicPr>
        <xdr:cNvPr id="12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1104900"/>
          <a:ext cx="11334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285750</xdr:colOff>
      <xdr:row>4</xdr:row>
      <xdr:rowOff>76200</xdr:rowOff>
    </xdr:from>
    <xdr:to>
      <xdr:col>9</xdr:col>
      <xdr:colOff>457200</xdr:colOff>
      <xdr:row>7</xdr:row>
      <xdr:rowOff>19050</xdr:rowOff>
    </xdr:to>
    <xdr:pic>
      <xdr:nvPicPr>
        <xdr:cNvPr id="123" name="Изображения 3"/>
        <xdr:cNvPicPr preferRelativeResize="1">
          <a:picLocks noChangeAspect="1"/>
        </xdr:cNvPicPr>
      </xdr:nvPicPr>
      <xdr:blipFill>
        <a:blip r:embed="rId3"/>
        <a:srcRect b="6298"/>
        <a:stretch>
          <a:fillRect/>
        </a:stretch>
      </xdr:blipFill>
      <xdr:spPr>
        <a:xfrm>
          <a:off x="8734425" y="1019175"/>
          <a:ext cx="140017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view="pageBreakPreview" zoomScale="105" zoomScaleNormal="105" zoomScaleSheetLayoutView="105" workbookViewId="0" topLeftCell="A1">
      <selection activeCell="C6" sqref="C6"/>
    </sheetView>
  </sheetViews>
  <sheetFormatPr defaultColWidth="9.00390625" defaultRowHeight="12.75"/>
  <cols>
    <col min="1" max="1" width="18.75390625" style="0" customWidth="1"/>
    <col min="2" max="2" width="30.00390625" style="0" customWidth="1"/>
    <col min="3" max="3" width="7.00390625" style="0" customWidth="1"/>
    <col min="4" max="4" width="6.875" style="0" customWidth="1"/>
    <col min="5" max="5" width="6.625" style="0" customWidth="1"/>
    <col min="6" max="6" width="18.625" style="0" customWidth="1"/>
    <col min="7" max="7" width="23.00390625" style="0" customWidth="1"/>
    <col min="8" max="8" width="8.75390625" style="0" customWidth="1"/>
    <col min="9" max="9" width="7.375" style="0" customWidth="1"/>
    <col min="10" max="10" width="8.125" style="0" customWidth="1"/>
  </cols>
  <sheetData>
    <row r="1" spans="1:13" ht="13.5" customHeight="1">
      <c r="A1" s="1"/>
      <c r="B1" s="2"/>
      <c r="C1" s="3"/>
      <c r="D1" s="4"/>
      <c r="E1" s="1"/>
      <c r="F1" s="1"/>
      <c r="G1" s="2"/>
      <c r="H1" s="1"/>
      <c r="I1" s="2"/>
      <c r="J1" s="2"/>
      <c r="K1" s="2"/>
      <c r="L1" s="2"/>
      <c r="M1" s="2"/>
    </row>
    <row r="2" spans="1:14" ht="26.25">
      <c r="A2" s="1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3" ht="14.25">
      <c r="A3" s="1"/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0.25">
      <c r="A4" s="1"/>
      <c r="B4" s="7" t="s">
        <v>2</v>
      </c>
      <c r="C4" s="7"/>
      <c r="D4" s="7"/>
      <c r="E4" s="7"/>
      <c r="F4" s="7"/>
      <c r="G4" s="7"/>
      <c r="H4" s="7"/>
      <c r="I4" s="2"/>
      <c r="J4" s="2"/>
      <c r="K4" s="2"/>
      <c r="L4" s="2"/>
      <c r="M4" s="2"/>
    </row>
    <row r="5" spans="1:13" ht="14.25">
      <c r="A5" s="8"/>
      <c r="B5" s="4"/>
      <c r="C5" s="9" t="s">
        <v>3</v>
      </c>
      <c r="D5" s="9"/>
      <c r="E5" s="9"/>
      <c r="F5" s="9"/>
      <c r="G5" s="9"/>
      <c r="H5" s="4"/>
      <c r="I5" s="2"/>
      <c r="J5" s="2"/>
      <c r="K5" s="2"/>
      <c r="L5" s="2"/>
      <c r="M5" s="2"/>
    </row>
    <row r="6" spans="1:13" ht="13.5" customHeight="1">
      <c r="A6" s="10"/>
      <c r="B6" s="4"/>
      <c r="C6" s="2"/>
      <c r="D6" s="11"/>
      <c r="E6" s="2"/>
      <c r="F6" s="2"/>
      <c r="G6" s="2"/>
      <c r="H6" s="12"/>
      <c r="I6" s="2"/>
      <c r="J6" s="2"/>
      <c r="K6" s="2"/>
      <c r="L6" s="2"/>
      <c r="M6" s="2"/>
    </row>
    <row r="7" spans="1:13" ht="72" customHeight="1">
      <c r="A7" s="13" t="s">
        <v>4</v>
      </c>
      <c r="B7" s="13"/>
      <c r="C7" s="13"/>
      <c r="D7" s="13"/>
      <c r="E7" s="13"/>
      <c r="F7" s="13"/>
      <c r="H7" s="12"/>
      <c r="I7" s="2"/>
      <c r="J7" s="2"/>
      <c r="K7" s="2"/>
      <c r="L7" s="2"/>
      <c r="M7" s="2"/>
    </row>
    <row r="8" spans="1:13" ht="9.75" customHeight="1">
      <c r="A8" s="14"/>
      <c r="B8" s="15"/>
      <c r="C8" s="2"/>
      <c r="D8" s="11"/>
      <c r="E8" s="2"/>
      <c r="F8" s="2"/>
      <c r="G8" s="2"/>
      <c r="H8" s="12"/>
      <c r="I8" s="2"/>
      <c r="J8" s="2"/>
      <c r="K8" s="2"/>
      <c r="L8" s="2"/>
      <c r="M8" s="2"/>
    </row>
    <row r="9" spans="1:13" ht="13.5" customHeight="1">
      <c r="A9" s="14" t="s">
        <v>5</v>
      </c>
      <c r="B9" s="15"/>
      <c r="C9" s="2"/>
      <c r="D9" s="11"/>
      <c r="E9" s="16"/>
      <c r="F9" s="16"/>
      <c r="G9" s="16"/>
      <c r="H9" s="17"/>
      <c r="I9" s="2"/>
      <c r="J9" s="2"/>
      <c r="K9" s="2"/>
      <c r="L9" s="2"/>
      <c r="M9" s="2"/>
    </row>
    <row r="10" spans="1:10" ht="36">
      <c r="A10" s="18" t="s">
        <v>6</v>
      </c>
      <c r="B10" s="18" t="s">
        <v>7</v>
      </c>
      <c r="C10" s="18" t="s">
        <v>8</v>
      </c>
      <c r="D10" s="18" t="s">
        <v>9</v>
      </c>
      <c r="E10" s="18" t="s">
        <v>10</v>
      </c>
      <c r="F10" s="18" t="s">
        <v>6</v>
      </c>
      <c r="G10" s="18" t="s">
        <v>7</v>
      </c>
      <c r="H10" s="18" t="s">
        <v>8</v>
      </c>
      <c r="I10" s="18" t="s">
        <v>9</v>
      </c>
      <c r="J10" s="18" t="s">
        <v>10</v>
      </c>
    </row>
    <row r="11" spans="1:10" ht="12.75">
      <c r="A11" s="19" t="s">
        <v>11</v>
      </c>
      <c r="B11" s="19"/>
      <c r="C11" s="19"/>
      <c r="D11" s="19"/>
      <c r="E11" s="19"/>
      <c r="F11" s="20" t="s">
        <v>12</v>
      </c>
      <c r="G11" s="20"/>
      <c r="H11" s="20"/>
      <c r="I11" s="20"/>
      <c r="J11" s="20"/>
    </row>
    <row r="12" spans="1:10" ht="14.25">
      <c r="A12" s="21" t="s">
        <v>13</v>
      </c>
      <c r="B12" s="21"/>
      <c r="C12" s="21"/>
      <c r="D12" s="21"/>
      <c r="E12" s="21"/>
      <c r="F12" s="22" t="s">
        <v>14</v>
      </c>
      <c r="G12" s="23" t="s">
        <v>15</v>
      </c>
      <c r="H12" s="24">
        <f>I12*1.18</f>
        <v>15.586620000000002</v>
      </c>
      <c r="I12" s="24">
        <f>12.58*1.05</f>
        <v>13.209000000000001</v>
      </c>
      <c r="J12" s="20">
        <v>300</v>
      </c>
    </row>
    <row r="13" spans="1:10" ht="14.25">
      <c r="A13" s="25" t="s">
        <v>16</v>
      </c>
      <c r="B13" s="26" t="s">
        <v>17</v>
      </c>
      <c r="C13" s="24">
        <f>D13*1.18</f>
        <v>9.6642</v>
      </c>
      <c r="D13" s="24">
        <f>7.8*1.05</f>
        <v>8.19</v>
      </c>
      <c r="E13" s="20">
        <v>200</v>
      </c>
      <c r="F13" s="22" t="s">
        <v>18</v>
      </c>
      <c r="G13" s="22" t="s">
        <v>19</v>
      </c>
      <c r="H13" s="24">
        <f>I13*1.18</f>
        <v>36.01773</v>
      </c>
      <c r="I13" s="24">
        <f>29.07*1.05</f>
        <v>30.523500000000002</v>
      </c>
      <c r="J13" s="20"/>
    </row>
    <row r="14" spans="1:10" s="27" customFormat="1" ht="14.25">
      <c r="A14" s="25" t="s">
        <v>20</v>
      </c>
      <c r="B14" s="25" t="s">
        <v>21</v>
      </c>
      <c r="C14" s="24">
        <f>D14*1.18</f>
        <v>8.661200000000001</v>
      </c>
      <c r="D14" s="24">
        <f>8.39-1.05</f>
        <v>7.340000000000001</v>
      </c>
      <c r="E14" s="20">
        <v>1000</v>
      </c>
      <c r="F14" s="22" t="s">
        <v>22</v>
      </c>
      <c r="G14" s="23" t="s">
        <v>23</v>
      </c>
      <c r="H14" s="24">
        <f>I14*1.18</f>
        <v>7.818089999999999</v>
      </c>
      <c r="I14" s="24">
        <f>6.31*1.05</f>
        <v>6.6255</v>
      </c>
      <c r="J14" s="20">
        <v>200</v>
      </c>
    </row>
    <row r="15" spans="1:10" ht="14.25">
      <c r="A15" s="25" t="s">
        <v>24</v>
      </c>
      <c r="B15" s="26" t="s">
        <v>21</v>
      </c>
      <c r="C15" s="24">
        <f>D15*1.18</f>
        <v>6.306509999999999</v>
      </c>
      <c r="D15" s="24">
        <f>5.09*1.05</f>
        <v>5.3445</v>
      </c>
      <c r="E15" s="20">
        <v>1000</v>
      </c>
      <c r="F15" s="22" t="s">
        <v>25</v>
      </c>
      <c r="G15" s="23" t="s">
        <v>26</v>
      </c>
      <c r="H15" s="24">
        <f>I15*1.18</f>
        <v>24.42069</v>
      </c>
      <c r="I15" s="24">
        <f>19.71*1.05</f>
        <v>20.695500000000003</v>
      </c>
      <c r="J15" s="20"/>
    </row>
    <row r="16" spans="1:10" s="27" customFormat="1" ht="14.25">
      <c r="A16" s="25" t="s">
        <v>27</v>
      </c>
      <c r="B16" s="26" t="s">
        <v>21</v>
      </c>
      <c r="C16" s="24">
        <f>D16*1.18</f>
        <v>20.778029999999998</v>
      </c>
      <c r="D16" s="24">
        <f>16.77*1.05</f>
        <v>17.6085</v>
      </c>
      <c r="E16" s="20">
        <v>100</v>
      </c>
      <c r="F16" s="21" t="s">
        <v>28</v>
      </c>
      <c r="G16" s="21"/>
      <c r="H16" s="21"/>
      <c r="I16" s="21"/>
      <c r="J16" s="21"/>
    </row>
    <row r="17" spans="1:10" ht="14.25">
      <c r="A17" s="21" t="s">
        <v>29</v>
      </c>
      <c r="B17" s="21"/>
      <c r="C17" s="21"/>
      <c r="D17" s="21"/>
      <c r="E17" s="21"/>
      <c r="F17" s="22" t="s">
        <v>30</v>
      </c>
      <c r="G17" s="23" t="s">
        <v>31</v>
      </c>
      <c r="H17" s="24">
        <f>I17*1.18</f>
        <v>3.1098899999999996</v>
      </c>
      <c r="I17" s="24">
        <f>2.51*1.05</f>
        <v>2.6355</v>
      </c>
      <c r="J17" s="20">
        <v>100</v>
      </c>
    </row>
    <row r="18" spans="1:10" ht="14.25">
      <c r="A18" s="25" t="s">
        <v>32</v>
      </c>
      <c r="B18" s="26" t="s">
        <v>21</v>
      </c>
      <c r="C18" s="24">
        <f>D18*1.18</f>
        <v>3.1098899999999996</v>
      </c>
      <c r="D18" s="24">
        <f>2.51*1.05</f>
        <v>2.6355</v>
      </c>
      <c r="E18" s="20">
        <v>500</v>
      </c>
      <c r="F18" s="22" t="s">
        <v>33</v>
      </c>
      <c r="G18" s="22" t="s">
        <v>34</v>
      </c>
      <c r="H18" s="24">
        <f>I18*1.18</f>
        <v>8.66061</v>
      </c>
      <c r="I18" s="24">
        <f>6.99*1.05</f>
        <v>7.3395</v>
      </c>
      <c r="J18" s="20">
        <v>300</v>
      </c>
    </row>
    <row r="19" spans="1:10" ht="14.25">
      <c r="A19" s="25" t="s">
        <v>35</v>
      </c>
      <c r="B19" s="26" t="s">
        <v>23</v>
      </c>
      <c r="C19" s="24">
        <f>D19*1.18</f>
        <v>64.08108</v>
      </c>
      <c r="D19" s="24">
        <f>51.72*1.05</f>
        <v>54.306000000000004</v>
      </c>
      <c r="E19" s="20">
        <v>60</v>
      </c>
      <c r="F19" s="22" t="s">
        <v>36</v>
      </c>
      <c r="G19" s="23" t="s">
        <v>37</v>
      </c>
      <c r="H19" s="24">
        <f>I19*1.18</f>
        <v>1.7346</v>
      </c>
      <c r="I19" s="24">
        <f>1.4*1.05</f>
        <v>1.47</v>
      </c>
      <c r="J19" s="20">
        <v>500</v>
      </c>
    </row>
    <row r="20" spans="1:10" ht="14.25">
      <c r="A20" s="25" t="s">
        <v>38</v>
      </c>
      <c r="B20" s="26" t="s">
        <v>23</v>
      </c>
      <c r="C20" s="24">
        <f>D20*1.18</f>
        <v>77.83398</v>
      </c>
      <c r="D20" s="24">
        <f>62.82*1.05</f>
        <v>65.961</v>
      </c>
      <c r="E20" s="20">
        <v>50</v>
      </c>
      <c r="F20" s="22" t="s">
        <v>39</v>
      </c>
      <c r="G20" s="22" t="s">
        <v>40</v>
      </c>
      <c r="H20" s="24">
        <f>I20*1.18</f>
        <v>43.278270000000006</v>
      </c>
      <c r="I20" s="24">
        <f>34.93*1.05</f>
        <v>36.676500000000004</v>
      </c>
      <c r="J20" s="20">
        <v>100</v>
      </c>
    </row>
    <row r="21" spans="1:10" s="27" customFormat="1" ht="14.25">
      <c r="A21" s="25" t="s">
        <v>41</v>
      </c>
      <c r="B21" s="25" t="s">
        <v>42</v>
      </c>
      <c r="C21" s="24">
        <f>D21*1.18</f>
        <v>69.2896</v>
      </c>
      <c r="D21" s="28">
        <v>58.72</v>
      </c>
      <c r="E21" s="20">
        <v>100</v>
      </c>
      <c r="F21" s="22" t="s">
        <v>43</v>
      </c>
      <c r="G21" s="23" t="s">
        <v>44</v>
      </c>
      <c r="H21" s="24">
        <f>I21*1.18</f>
        <v>22.43829</v>
      </c>
      <c r="I21" s="24">
        <f>18.11*1.05</f>
        <v>19.0155</v>
      </c>
      <c r="J21" s="20">
        <v>100</v>
      </c>
    </row>
    <row r="22" spans="1:10" ht="14.25">
      <c r="A22" s="25" t="s">
        <v>45</v>
      </c>
      <c r="B22" s="26" t="s">
        <v>46</v>
      </c>
      <c r="C22" s="24">
        <f>D22*1.18</f>
        <v>25.0042</v>
      </c>
      <c r="D22" s="24">
        <v>21.19</v>
      </c>
      <c r="E22" s="20">
        <v>100</v>
      </c>
      <c r="F22" s="22" t="s">
        <v>47</v>
      </c>
      <c r="G22" s="23" t="s">
        <v>44</v>
      </c>
      <c r="H22" s="24">
        <f>I22*1.18</f>
        <v>9.218160000000001</v>
      </c>
      <c r="I22" s="24">
        <f>7.44*1.05</f>
        <v>7.812000000000001</v>
      </c>
      <c r="J22" s="20">
        <v>500</v>
      </c>
    </row>
    <row r="23" spans="1:10" ht="14.25">
      <c r="A23" s="25" t="s">
        <v>48</v>
      </c>
      <c r="B23" s="26" t="s">
        <v>42</v>
      </c>
      <c r="C23" s="24">
        <f>D23*1.18</f>
        <v>61.7376</v>
      </c>
      <c r="D23" s="28">
        <v>52.32</v>
      </c>
      <c r="E23" s="20">
        <v>100</v>
      </c>
      <c r="F23" s="22" t="s">
        <v>49</v>
      </c>
      <c r="G23" s="23" t="s">
        <v>50</v>
      </c>
      <c r="H23" s="24">
        <f>I23*1.18</f>
        <v>5.079899999999999</v>
      </c>
      <c r="I23" s="24">
        <f>4.1*1.05</f>
        <v>4.305</v>
      </c>
      <c r="J23" s="20">
        <v>500</v>
      </c>
    </row>
    <row r="24" spans="1:10" ht="14.25">
      <c r="A24" s="25" t="s">
        <v>51</v>
      </c>
      <c r="B24" s="26" t="s">
        <v>42</v>
      </c>
      <c r="C24" s="24">
        <f>D24*1.18</f>
        <v>16.6852</v>
      </c>
      <c r="D24" s="24">
        <v>14.14</v>
      </c>
      <c r="E24" s="20">
        <v>100</v>
      </c>
      <c r="F24" s="21" t="s">
        <v>52</v>
      </c>
      <c r="G24" s="21"/>
      <c r="H24" s="21"/>
      <c r="I24" s="21"/>
      <c r="J24" s="21"/>
    </row>
    <row r="25" spans="1:10" ht="14.25">
      <c r="A25" s="25" t="s">
        <v>53</v>
      </c>
      <c r="B25" s="26" t="s">
        <v>46</v>
      </c>
      <c r="C25" s="24">
        <f>D25*1.18</f>
        <v>5.53833</v>
      </c>
      <c r="D25" s="24">
        <f>4.47*1.05</f>
        <v>4.6935</v>
      </c>
      <c r="E25" s="20">
        <v>500</v>
      </c>
      <c r="F25" s="22" t="s">
        <v>54</v>
      </c>
      <c r="G25" s="23" t="s">
        <v>55</v>
      </c>
      <c r="H25" s="24">
        <f>I25*1.18</f>
        <v>3.4444200000000005</v>
      </c>
      <c r="I25" s="24">
        <f>2.78*1.05</f>
        <v>2.9190000000000005</v>
      </c>
      <c r="J25" s="20">
        <v>200</v>
      </c>
    </row>
    <row r="26" spans="1:10" ht="14.25">
      <c r="A26" s="25" t="s">
        <v>56</v>
      </c>
      <c r="B26" s="26" t="s">
        <v>21</v>
      </c>
      <c r="C26" s="24">
        <f>D26*1.18</f>
        <v>2.7629699999999997</v>
      </c>
      <c r="D26" s="24">
        <f>2.23*1.05</f>
        <v>2.3415</v>
      </c>
      <c r="E26" s="20">
        <v>500</v>
      </c>
      <c r="F26" s="25" t="s">
        <v>57</v>
      </c>
      <c r="G26" s="22" t="s">
        <v>55</v>
      </c>
      <c r="H26" s="24">
        <f>I26*1.18</f>
        <v>5.83569</v>
      </c>
      <c r="I26" s="24">
        <f>4.71*1.05</f>
        <v>4.9455</v>
      </c>
      <c r="J26" s="20">
        <v>100</v>
      </c>
    </row>
    <row r="27" spans="1:10" s="27" customFormat="1" ht="14.25">
      <c r="A27" s="25" t="s">
        <v>58</v>
      </c>
      <c r="B27" s="25" t="s">
        <v>59</v>
      </c>
      <c r="C27" s="24">
        <f>D27*1.18</f>
        <v>147.5</v>
      </c>
      <c r="D27" s="28">
        <v>125</v>
      </c>
      <c r="E27" s="20">
        <v>10</v>
      </c>
      <c r="F27" s="21" t="s">
        <v>60</v>
      </c>
      <c r="G27" s="21"/>
      <c r="H27" s="21"/>
      <c r="I27" s="21"/>
      <c r="J27" s="21"/>
    </row>
    <row r="28" spans="1:10" ht="14.25">
      <c r="A28" s="25" t="s">
        <v>61</v>
      </c>
      <c r="B28" s="26" t="s">
        <v>23</v>
      </c>
      <c r="C28" s="24">
        <f>D28*1.18</f>
        <v>43.00569</v>
      </c>
      <c r="D28" s="24">
        <f>34.71*1.05</f>
        <v>36.4455</v>
      </c>
      <c r="E28" s="20">
        <v>100</v>
      </c>
      <c r="F28" s="22" t="s">
        <v>62</v>
      </c>
      <c r="G28" s="29" t="s">
        <v>63</v>
      </c>
      <c r="H28" s="24">
        <f>I28*1.18</f>
        <v>8.3013</v>
      </c>
      <c r="I28" s="24">
        <f>6.7*1.05</f>
        <v>7.035</v>
      </c>
      <c r="J28" s="20">
        <v>1000</v>
      </c>
    </row>
    <row r="29" spans="1:10" s="27" customFormat="1" ht="14.25">
      <c r="A29" s="25" t="s">
        <v>64</v>
      </c>
      <c r="B29" s="25" t="s">
        <v>65</v>
      </c>
      <c r="C29" s="24">
        <f>D29*1.18</f>
        <v>141.6</v>
      </c>
      <c r="D29" s="28">
        <v>120</v>
      </c>
      <c r="E29" s="20">
        <v>10</v>
      </c>
      <c r="F29" s="30" t="s">
        <v>66</v>
      </c>
      <c r="G29" s="30" t="s">
        <v>67</v>
      </c>
      <c r="H29" s="24">
        <f>I29*1.18</f>
        <v>17.531850000000002</v>
      </c>
      <c r="I29" s="20">
        <f>14.15*1.05</f>
        <v>14.857500000000002</v>
      </c>
      <c r="J29" s="21">
        <v>500</v>
      </c>
    </row>
    <row r="30" spans="1:10" s="27" customFormat="1" ht="14.25">
      <c r="A30" s="25" t="s">
        <v>68</v>
      </c>
      <c r="B30" s="25" t="s">
        <v>69</v>
      </c>
      <c r="C30" s="24">
        <f>D30*1.18</f>
        <v>322.6002</v>
      </c>
      <c r="D30" s="28">
        <v>273.39</v>
      </c>
      <c r="E30" s="20">
        <v>10</v>
      </c>
      <c r="F30" s="22" t="s">
        <v>70</v>
      </c>
      <c r="G30" s="23" t="s">
        <v>71</v>
      </c>
      <c r="H30" s="24">
        <f>I30*1.18</f>
        <v>16.91235</v>
      </c>
      <c r="I30" s="24">
        <f>13.65*1.05</f>
        <v>14.332500000000001</v>
      </c>
      <c r="J30" s="20">
        <v>500</v>
      </c>
    </row>
    <row r="31" spans="1:10" s="27" customFormat="1" ht="14.25">
      <c r="A31" s="21" t="s">
        <v>72</v>
      </c>
      <c r="B31" s="21"/>
      <c r="C31" s="21"/>
      <c r="D31" s="21"/>
      <c r="E31" s="21"/>
      <c r="F31" s="22" t="s">
        <v>73</v>
      </c>
      <c r="G31" s="22" t="s">
        <v>67</v>
      </c>
      <c r="H31" s="24">
        <f>I31*1.18</f>
        <v>19.61337</v>
      </c>
      <c r="I31" s="24">
        <f>15.83*1.05</f>
        <v>16.6215</v>
      </c>
      <c r="J31" s="20">
        <v>500</v>
      </c>
    </row>
    <row r="32" spans="1:10" ht="14.25">
      <c r="A32" s="31" t="s">
        <v>74</v>
      </c>
      <c r="B32" s="26" t="s">
        <v>75</v>
      </c>
      <c r="C32" s="24">
        <f>D32*1.18</f>
        <v>28.17486</v>
      </c>
      <c r="D32" s="24">
        <f>22.74*1.05</f>
        <v>23.877</v>
      </c>
      <c r="E32" s="20">
        <v>150</v>
      </c>
      <c r="F32" s="22" t="s">
        <v>76</v>
      </c>
      <c r="G32" s="23" t="s">
        <v>77</v>
      </c>
      <c r="H32" s="24">
        <f>I32*1.18</f>
        <v>18.99387</v>
      </c>
      <c r="I32" s="24">
        <f>15.33*1.05</f>
        <v>16.096500000000002</v>
      </c>
      <c r="J32" s="20">
        <v>500</v>
      </c>
    </row>
    <row r="33" spans="1:10" ht="14.25">
      <c r="A33" s="31" t="s">
        <v>78</v>
      </c>
      <c r="B33" s="26" t="s">
        <v>79</v>
      </c>
      <c r="C33" s="24">
        <f>D33*1.18</f>
        <v>0</v>
      </c>
      <c r="D33" s="24">
        <v>0</v>
      </c>
      <c r="E33" s="20"/>
      <c r="F33" s="25" t="s">
        <v>80</v>
      </c>
      <c r="G33" s="25" t="s">
        <v>81</v>
      </c>
      <c r="H33" s="24">
        <f>I33*1.18</f>
        <v>53.78499</v>
      </c>
      <c r="I33" s="24">
        <f>43.41*1.05</f>
        <v>45.5805</v>
      </c>
      <c r="J33" s="20">
        <v>100</v>
      </c>
    </row>
    <row r="34" spans="1:10" ht="14.25">
      <c r="A34" s="25" t="s">
        <v>82</v>
      </c>
      <c r="B34" s="26" t="s">
        <v>67</v>
      </c>
      <c r="C34" s="24">
        <f>D34*1.18</f>
        <v>26.836740000000002</v>
      </c>
      <c r="D34" s="24">
        <f>21.66*1.05</f>
        <v>22.743000000000002</v>
      </c>
      <c r="E34" s="21">
        <v>150</v>
      </c>
      <c r="F34" s="25" t="s">
        <v>83</v>
      </c>
      <c r="G34" s="32" t="s">
        <v>84</v>
      </c>
      <c r="H34" s="24">
        <f>I34*1.18</f>
        <v>38.12403</v>
      </c>
      <c r="I34" s="24">
        <f>30.77*1.05</f>
        <v>32.3085</v>
      </c>
      <c r="J34" s="20">
        <v>100</v>
      </c>
    </row>
    <row r="35" spans="1:10" ht="14.25">
      <c r="A35" s="25" t="s">
        <v>85</v>
      </c>
      <c r="B35" s="26" t="s">
        <v>67</v>
      </c>
      <c r="C35" s="24">
        <f>D35*1.18</f>
        <v>66.1626</v>
      </c>
      <c r="D35" s="24">
        <f>53.4*1.05</f>
        <v>56.07</v>
      </c>
      <c r="E35" s="21">
        <v>100</v>
      </c>
      <c r="F35" s="25" t="s">
        <v>86</v>
      </c>
      <c r="G35" s="25" t="s">
        <v>87</v>
      </c>
      <c r="H35" s="33">
        <f>I35*1.18</f>
        <v>29.438640000000003</v>
      </c>
      <c r="I35" s="33">
        <f>23.76*1.05</f>
        <v>24.948000000000004</v>
      </c>
      <c r="J35" s="20">
        <v>100</v>
      </c>
    </row>
    <row r="36" spans="1:10" ht="14.25">
      <c r="A36" s="31" t="s">
        <v>88</v>
      </c>
      <c r="B36" s="26" t="s">
        <v>89</v>
      </c>
      <c r="C36" s="24">
        <f>D36*1.18</f>
        <v>64.08108</v>
      </c>
      <c r="D36" s="24">
        <f>51.72*1.05</f>
        <v>54.306000000000004</v>
      </c>
      <c r="E36" s="20">
        <v>100</v>
      </c>
      <c r="F36" s="19" t="s">
        <v>90</v>
      </c>
      <c r="G36" s="19"/>
      <c r="H36" s="19"/>
      <c r="I36" s="19"/>
      <c r="J36" s="19"/>
    </row>
    <row r="37" spans="1:10" ht="14.25">
      <c r="A37" s="22" t="s">
        <v>91</v>
      </c>
      <c r="B37" s="22" t="s">
        <v>92</v>
      </c>
      <c r="C37" s="33">
        <f>D37*1.18</f>
        <v>69.28488</v>
      </c>
      <c r="D37" s="33">
        <f>55.92*1.05</f>
        <v>58.716</v>
      </c>
      <c r="E37" s="20">
        <v>100</v>
      </c>
      <c r="F37" s="34" t="s">
        <v>93</v>
      </c>
      <c r="G37" s="34"/>
      <c r="H37" s="34"/>
      <c r="I37" s="34"/>
      <c r="J37" s="34"/>
    </row>
    <row r="38" spans="1:10" s="27" customFormat="1" ht="14.25">
      <c r="A38" s="25" t="s">
        <v>94</v>
      </c>
      <c r="B38" s="25" t="s">
        <v>50</v>
      </c>
      <c r="C38" s="24">
        <f>D38*1.18</f>
        <v>7.037519999999999</v>
      </c>
      <c r="D38" s="24">
        <f>5.68*1.05</f>
        <v>5.9639999999999995</v>
      </c>
      <c r="E38" s="20">
        <v>500</v>
      </c>
      <c r="F38" s="22" t="s">
        <v>95</v>
      </c>
      <c r="G38" s="23" t="s">
        <v>96</v>
      </c>
      <c r="H38" s="24">
        <f>I38*1.18</f>
        <v>166.55877</v>
      </c>
      <c r="I38" s="24">
        <f>134.43*1.05</f>
        <v>141.15150000000003</v>
      </c>
      <c r="J38" s="20">
        <v>25</v>
      </c>
    </row>
    <row r="39" spans="1:10" ht="14.25">
      <c r="A39" s="25" t="s">
        <v>97</v>
      </c>
      <c r="B39" s="26" t="s">
        <v>21</v>
      </c>
      <c r="C39" s="24">
        <f>D39*1.18</f>
        <v>2.0815200000000003</v>
      </c>
      <c r="D39" s="24">
        <f>1.68*1.05</f>
        <v>1.7640000000000002</v>
      </c>
      <c r="E39" s="20">
        <v>500</v>
      </c>
      <c r="F39" s="22" t="s">
        <v>98</v>
      </c>
      <c r="G39" s="23" t="s">
        <v>96</v>
      </c>
      <c r="H39" s="24">
        <f>I39*1.18</f>
        <v>154.3794</v>
      </c>
      <c r="I39" s="24">
        <f>124.6*1.05</f>
        <v>130.83</v>
      </c>
      <c r="J39" s="20">
        <v>25</v>
      </c>
    </row>
    <row r="40" spans="1:10" ht="14.25">
      <c r="A40" s="25" t="s">
        <v>99</v>
      </c>
      <c r="B40" s="26" t="s">
        <v>21</v>
      </c>
      <c r="C40" s="24">
        <f>D40*1.18</f>
        <v>1.04076</v>
      </c>
      <c r="D40" s="24">
        <f>0.84*1.05</f>
        <v>0.882</v>
      </c>
      <c r="E40" s="20">
        <v>1000</v>
      </c>
      <c r="F40" s="22" t="s">
        <v>100</v>
      </c>
      <c r="G40" s="23" t="s">
        <v>50</v>
      </c>
      <c r="H40" s="24">
        <f>I40*1.18</f>
        <v>4.856879999999999</v>
      </c>
      <c r="I40" s="24">
        <f>3.92*1.05</f>
        <v>4.116</v>
      </c>
      <c r="J40" s="20">
        <v>500</v>
      </c>
    </row>
    <row r="41" spans="1:10" ht="14.25">
      <c r="A41" s="25" t="s">
        <v>101</v>
      </c>
      <c r="B41" s="26" t="s">
        <v>21</v>
      </c>
      <c r="C41" s="24">
        <f>D41*1.18</f>
        <v>5.30292</v>
      </c>
      <c r="D41" s="24">
        <f>4.28*1.05</f>
        <v>4.494000000000001</v>
      </c>
      <c r="E41" s="20">
        <v>500</v>
      </c>
      <c r="F41" s="22" t="s">
        <v>102</v>
      </c>
      <c r="G41" s="23" t="s">
        <v>46</v>
      </c>
      <c r="H41" s="24">
        <f>I41*1.18</f>
        <v>1.90806</v>
      </c>
      <c r="I41" s="24">
        <f>1.54*1.05</f>
        <v>1.6170000000000002</v>
      </c>
      <c r="J41" s="20">
        <v>1000</v>
      </c>
    </row>
    <row r="42" spans="1:10" ht="14.25">
      <c r="A42" s="25" t="s">
        <v>103</v>
      </c>
      <c r="B42" s="26" t="s">
        <v>104</v>
      </c>
      <c r="C42" s="24">
        <f>D42*1.18</f>
        <v>8.982750000000001</v>
      </c>
      <c r="D42" s="24">
        <f>7.25*1.05</f>
        <v>7.612500000000001</v>
      </c>
      <c r="E42" s="20">
        <v>100</v>
      </c>
      <c r="F42" s="22" t="s">
        <v>105</v>
      </c>
      <c r="G42" s="22" t="s">
        <v>26</v>
      </c>
      <c r="H42" s="24">
        <f>I42*1.18</f>
        <v>4.06392</v>
      </c>
      <c r="I42" s="24">
        <f>3.28*1.05</f>
        <v>3.4440000000000004</v>
      </c>
      <c r="J42" s="20">
        <v>500</v>
      </c>
    </row>
    <row r="43" spans="1:10" ht="14.25">
      <c r="A43" s="21" t="s">
        <v>106</v>
      </c>
      <c r="B43" s="21"/>
      <c r="C43" s="21"/>
      <c r="D43" s="21"/>
      <c r="E43" s="21"/>
      <c r="F43" s="22" t="s">
        <v>107</v>
      </c>
      <c r="G43" s="23" t="s">
        <v>46</v>
      </c>
      <c r="H43" s="24">
        <f>I43*1.18</f>
        <v>6.083489999999999</v>
      </c>
      <c r="I43" s="24">
        <f>4.91*1.05</f>
        <v>5.1555</v>
      </c>
      <c r="J43" s="20">
        <v>1000</v>
      </c>
    </row>
    <row r="44" spans="1:10" ht="14.25">
      <c r="A44" s="25" t="s">
        <v>108</v>
      </c>
      <c r="B44" s="35" t="s">
        <v>109</v>
      </c>
      <c r="C44" s="24">
        <v>4.8100000000000005</v>
      </c>
      <c r="D44" s="24">
        <f>4.49*1.05</f>
        <v>4.7145</v>
      </c>
      <c r="E44" s="20">
        <v>500</v>
      </c>
      <c r="F44" s="22" t="s">
        <v>110</v>
      </c>
      <c r="G44" s="23" t="s">
        <v>34</v>
      </c>
      <c r="H44" s="24">
        <f>I44*1.18</f>
        <v>27.14649</v>
      </c>
      <c r="I44" s="24">
        <f>21.91*1.05</f>
        <v>23.0055</v>
      </c>
      <c r="J44" s="20">
        <v>100</v>
      </c>
    </row>
    <row r="45" spans="1:10" ht="14.25">
      <c r="A45" s="25" t="s">
        <v>111</v>
      </c>
      <c r="B45" s="26" t="s">
        <v>21</v>
      </c>
      <c r="C45" s="24">
        <f>D45*1.18</f>
        <v>3.4692</v>
      </c>
      <c r="D45" s="24">
        <f>2.8*1.05</f>
        <v>2.94</v>
      </c>
      <c r="E45" s="20">
        <v>500</v>
      </c>
      <c r="F45" s="22" t="s">
        <v>112</v>
      </c>
      <c r="G45" s="23" t="s">
        <v>34</v>
      </c>
      <c r="H45" s="24">
        <f>I45*1.18</f>
        <v>14.52108</v>
      </c>
      <c r="I45" s="24">
        <f>11.72*1.05</f>
        <v>12.306000000000001</v>
      </c>
      <c r="J45" s="20">
        <v>100</v>
      </c>
    </row>
    <row r="46" spans="1:10" ht="14.25">
      <c r="A46" s="21" t="s">
        <v>113</v>
      </c>
      <c r="B46" s="21"/>
      <c r="C46" s="21"/>
      <c r="D46" s="21"/>
      <c r="E46" s="21"/>
      <c r="F46" s="21" t="s">
        <v>114</v>
      </c>
      <c r="G46" s="21"/>
      <c r="H46" s="21"/>
      <c r="I46" s="21"/>
      <c r="J46" s="21"/>
    </row>
    <row r="47" spans="1:10" ht="14.25">
      <c r="A47" s="25" t="s">
        <v>115</v>
      </c>
      <c r="B47" s="26"/>
      <c r="C47" s="24">
        <f>D47*1.18</f>
        <v>1.3752900000000001</v>
      </c>
      <c r="D47" s="24">
        <f>1.11*1.05</f>
        <v>1.1655000000000002</v>
      </c>
      <c r="E47" s="20">
        <v>500</v>
      </c>
      <c r="F47" s="22" t="s">
        <v>116</v>
      </c>
      <c r="G47" s="23" t="s">
        <v>23</v>
      </c>
      <c r="H47" s="24">
        <f>I47*1.18</f>
        <v>5.810910000000001</v>
      </c>
      <c r="I47" s="24">
        <f>4.69*1.05</f>
        <v>4.924500000000001</v>
      </c>
      <c r="J47" s="20">
        <v>100</v>
      </c>
    </row>
    <row r="48" spans="1:10" ht="14.25">
      <c r="A48" s="25" t="s">
        <v>117</v>
      </c>
      <c r="B48" s="26" t="s">
        <v>26</v>
      </c>
      <c r="C48" s="24">
        <f>D48*1.18</f>
        <v>6.92601</v>
      </c>
      <c r="D48" s="24">
        <f>5.59*1.05</f>
        <v>5.8695</v>
      </c>
      <c r="E48" s="20"/>
      <c r="F48" s="21" t="s">
        <v>118</v>
      </c>
      <c r="G48" s="21"/>
      <c r="H48" s="21"/>
      <c r="I48" s="21"/>
      <c r="J48" s="21"/>
    </row>
    <row r="49" spans="1:10" ht="14.25">
      <c r="A49" s="21" t="s">
        <v>119</v>
      </c>
      <c r="B49" s="21"/>
      <c r="C49" s="21"/>
      <c r="D49" s="21"/>
      <c r="E49" s="21"/>
      <c r="F49" s="22" t="s">
        <v>120</v>
      </c>
      <c r="G49" s="23" t="s">
        <v>121</v>
      </c>
      <c r="H49" s="24">
        <f>I49*1.18</f>
        <v>1.7346</v>
      </c>
      <c r="I49" s="24">
        <f>1.4*1.05</f>
        <v>1.47</v>
      </c>
      <c r="J49" s="20">
        <v>1000</v>
      </c>
    </row>
    <row r="50" spans="1:10" ht="14.25">
      <c r="A50" s="25" t="s">
        <v>122</v>
      </c>
      <c r="B50" s="26" t="s">
        <v>21</v>
      </c>
      <c r="C50" s="24">
        <f>D50*1.18</f>
        <v>1.3752900000000001</v>
      </c>
      <c r="D50" s="24">
        <f>1.11*1.05</f>
        <v>1.1655000000000002</v>
      </c>
      <c r="E50" s="20"/>
      <c r="F50" s="22" t="s">
        <v>123</v>
      </c>
      <c r="G50" s="23" t="s">
        <v>121</v>
      </c>
      <c r="H50" s="24">
        <f>I50*1.18</f>
        <v>1.7346</v>
      </c>
      <c r="I50" s="24">
        <f>1.4*1.05</f>
        <v>1.47</v>
      </c>
      <c r="J50" s="20">
        <v>1000</v>
      </c>
    </row>
    <row r="51" spans="1:10" ht="14.25">
      <c r="A51" s="25" t="s">
        <v>124</v>
      </c>
      <c r="B51" s="26" t="s">
        <v>125</v>
      </c>
      <c r="C51" s="24">
        <f>D51*1.18</f>
        <v>2.61429</v>
      </c>
      <c r="D51" s="24">
        <f>2.11*1.05</f>
        <v>2.2155</v>
      </c>
      <c r="E51" s="20">
        <v>500</v>
      </c>
      <c r="F51" s="22" t="s">
        <v>126</v>
      </c>
      <c r="G51" s="23" t="s">
        <v>127</v>
      </c>
      <c r="H51" s="24">
        <f>I51*1.18</f>
        <v>2.26737</v>
      </c>
      <c r="I51" s="24">
        <f>1.83*1.05</f>
        <v>1.9215000000000002</v>
      </c>
      <c r="J51" s="20">
        <v>1000</v>
      </c>
    </row>
    <row r="52" spans="1:10" ht="14.25">
      <c r="A52" s="21" t="s">
        <v>128</v>
      </c>
      <c r="B52" s="21"/>
      <c r="C52" s="21"/>
      <c r="D52" s="21"/>
      <c r="E52" s="21"/>
      <c r="F52" s="22" t="s">
        <v>129</v>
      </c>
      <c r="G52" s="23" t="s">
        <v>130</v>
      </c>
      <c r="H52" s="24">
        <f>I52*1.18</f>
        <v>1.7346</v>
      </c>
      <c r="I52" s="24">
        <f>1.4*1.05</f>
        <v>1.47</v>
      </c>
      <c r="J52" s="20">
        <v>1000</v>
      </c>
    </row>
    <row r="53" spans="1:10" ht="14.25">
      <c r="A53" s="22" t="s">
        <v>131</v>
      </c>
      <c r="B53" s="23" t="s">
        <v>26</v>
      </c>
      <c r="C53" s="24">
        <f>D53*1.18</f>
        <v>5.26575</v>
      </c>
      <c r="D53" s="24">
        <f>4.25*1.05</f>
        <v>4.4625</v>
      </c>
      <c r="E53" s="20">
        <v>300</v>
      </c>
      <c r="F53" s="22" t="s">
        <v>132</v>
      </c>
      <c r="G53" s="22" t="s">
        <v>133</v>
      </c>
      <c r="H53" s="24">
        <f>I53*1.18</f>
        <v>1.47441</v>
      </c>
      <c r="I53" s="24">
        <f>1.19*1.05</f>
        <v>1.2495</v>
      </c>
      <c r="J53" s="20">
        <v>1000</v>
      </c>
    </row>
    <row r="54" spans="1:10" ht="14.25">
      <c r="A54" s="22" t="s">
        <v>134</v>
      </c>
      <c r="B54" s="23" t="s">
        <v>135</v>
      </c>
      <c r="C54" s="24">
        <f>D54*1.18</f>
        <v>8.68539</v>
      </c>
      <c r="D54" s="24">
        <f>7.01*1.05</f>
        <v>7.3605</v>
      </c>
      <c r="E54" s="20">
        <v>300</v>
      </c>
      <c r="F54" s="30" t="s">
        <v>136</v>
      </c>
      <c r="G54" s="30" t="s">
        <v>137</v>
      </c>
      <c r="H54" s="24">
        <f>I54*1.18</f>
        <v>7.458779999999999</v>
      </c>
      <c r="I54" s="24">
        <f>6.02*1.05</f>
        <v>6.321</v>
      </c>
      <c r="J54" s="20">
        <v>100</v>
      </c>
    </row>
    <row r="55" spans="1:5" ht="14.25">
      <c r="A55" s="22" t="s">
        <v>138</v>
      </c>
      <c r="B55" s="23" t="s">
        <v>139</v>
      </c>
      <c r="C55" s="24">
        <f>D55*1.18</f>
        <v>6.05871</v>
      </c>
      <c r="D55" s="24">
        <f>4.89*1.05</f>
        <v>5.1345</v>
      </c>
      <c r="E55" s="20">
        <v>400</v>
      </c>
    </row>
    <row r="56" spans="1:5" ht="14.25">
      <c r="A56" s="22" t="s">
        <v>140</v>
      </c>
      <c r="B56" s="23" t="s">
        <v>141</v>
      </c>
      <c r="C56" s="24">
        <f>D56*1.18</f>
        <v>7.11186</v>
      </c>
      <c r="D56" s="24">
        <f>5.74*1.05</f>
        <v>6.027</v>
      </c>
      <c r="E56" s="20">
        <v>500</v>
      </c>
    </row>
    <row r="57" spans="1:5" ht="14.25">
      <c r="A57" s="22" t="s">
        <v>142</v>
      </c>
      <c r="B57" s="23" t="s">
        <v>50</v>
      </c>
      <c r="C57" s="24">
        <f>D57*1.18</f>
        <v>4.22499</v>
      </c>
      <c r="D57" s="24">
        <f>3.41*1.05</f>
        <v>3.5805000000000002</v>
      </c>
      <c r="E57" s="20"/>
    </row>
    <row r="58" spans="1:5" ht="14.25">
      <c r="A58" s="21" t="s">
        <v>143</v>
      </c>
      <c r="B58" s="21"/>
      <c r="C58" s="21"/>
      <c r="D58" s="21"/>
      <c r="E58" s="21"/>
    </row>
    <row r="59" spans="1:10" s="27" customFormat="1" ht="14.25">
      <c r="A59" s="22" t="s">
        <v>144</v>
      </c>
      <c r="B59" s="23" t="s">
        <v>145</v>
      </c>
      <c r="C59" s="24">
        <f>D59*1.18</f>
        <v>173.19980999999999</v>
      </c>
      <c r="D59" s="24">
        <f>139.79*1.05</f>
        <v>146.77949999999998</v>
      </c>
      <c r="E59" s="20">
        <v>10</v>
      </c>
      <c r="F59"/>
      <c r="G59"/>
      <c r="H59"/>
      <c r="I59"/>
      <c r="J59"/>
    </row>
    <row r="60" spans="1:10" ht="14.25">
      <c r="A60" s="21" t="s">
        <v>146</v>
      </c>
      <c r="B60" s="21"/>
      <c r="C60" s="21"/>
      <c r="D60" s="21"/>
      <c r="E60" s="21"/>
      <c r="F60" s="21" t="s">
        <v>147</v>
      </c>
      <c r="G60" s="21"/>
      <c r="H60" s="21"/>
      <c r="I60" s="21"/>
      <c r="J60" s="21"/>
    </row>
    <row r="61" spans="1:10" ht="14.25">
      <c r="A61" s="25" t="s">
        <v>148</v>
      </c>
      <c r="B61" s="26" t="s">
        <v>21</v>
      </c>
      <c r="C61" s="24">
        <f>D61*1.18</f>
        <v>7.000350000000001</v>
      </c>
      <c r="D61" s="24">
        <f>5.65*1.05</f>
        <v>5.932500000000001</v>
      </c>
      <c r="E61" s="20">
        <v>300</v>
      </c>
      <c r="F61" s="22" t="s">
        <v>149</v>
      </c>
      <c r="G61" s="23" t="s">
        <v>150</v>
      </c>
      <c r="H61" s="24">
        <f>I61*1.18</f>
        <v>8.66061</v>
      </c>
      <c r="I61" s="24">
        <f>6.99*1.05</f>
        <v>7.3395</v>
      </c>
      <c r="J61" s="20">
        <v>300</v>
      </c>
    </row>
    <row r="62" spans="1:10" ht="14.25">
      <c r="A62" s="25" t="s">
        <v>151</v>
      </c>
      <c r="B62" s="26" t="s">
        <v>21</v>
      </c>
      <c r="C62" s="24">
        <f>D62*1.18</f>
        <v>28.58373</v>
      </c>
      <c r="D62" s="24">
        <f>23.07*1.05</f>
        <v>24.2235</v>
      </c>
      <c r="E62" s="20">
        <v>100</v>
      </c>
      <c r="F62" s="22" t="s">
        <v>152</v>
      </c>
      <c r="G62" s="23" t="s">
        <v>21</v>
      </c>
      <c r="H62" s="24">
        <f>I62*1.18</f>
        <v>3.8285099999999996</v>
      </c>
      <c r="I62" s="24">
        <f>3.09*1.05</f>
        <v>3.2445</v>
      </c>
      <c r="J62" s="20">
        <v>1000</v>
      </c>
    </row>
    <row r="63" spans="1:10" ht="14.25">
      <c r="A63" s="25" t="s">
        <v>153</v>
      </c>
      <c r="B63" s="26" t="s">
        <v>21</v>
      </c>
      <c r="C63" s="24">
        <f>D63*1.18</f>
        <v>96.12162</v>
      </c>
      <c r="D63" s="24">
        <f>77.58*1.05</f>
        <v>81.459</v>
      </c>
      <c r="E63" s="20">
        <v>50</v>
      </c>
      <c r="F63" s="21" t="s">
        <v>154</v>
      </c>
      <c r="G63" s="21"/>
      <c r="H63" s="21"/>
      <c r="I63" s="21"/>
      <c r="J63" s="21"/>
    </row>
    <row r="64" spans="1:10" s="27" customFormat="1" ht="14.25">
      <c r="A64" s="25" t="s">
        <v>155</v>
      </c>
      <c r="B64" s="23" t="s">
        <v>135</v>
      </c>
      <c r="C64" s="24">
        <f>D64*1.18</f>
        <v>60.624269999999996</v>
      </c>
      <c r="D64" s="24">
        <f>48.93*1.05</f>
        <v>51.3765</v>
      </c>
      <c r="E64" s="20">
        <v>50</v>
      </c>
      <c r="F64" s="36" t="s">
        <v>156</v>
      </c>
      <c r="G64" s="36" t="s">
        <v>157</v>
      </c>
      <c r="H64" s="24">
        <f>I64*1.18</f>
        <v>15.25209</v>
      </c>
      <c r="I64" s="33">
        <f>12.31*1.05</f>
        <v>12.925500000000001</v>
      </c>
      <c r="J64" s="20">
        <v>100</v>
      </c>
    </row>
    <row r="65" spans="1:10" ht="14.25">
      <c r="A65" s="25" t="s">
        <v>158</v>
      </c>
      <c r="B65" s="25" t="s">
        <v>21</v>
      </c>
      <c r="C65" s="24">
        <f>D65*1.18</f>
        <v>5.5011600000000005</v>
      </c>
      <c r="D65" s="24">
        <f>4.44*1.05</f>
        <v>4.662000000000001</v>
      </c>
      <c r="E65" s="20"/>
      <c r="F65" s="21" t="s">
        <v>159</v>
      </c>
      <c r="G65" s="21"/>
      <c r="H65" s="21"/>
      <c r="I65" s="21"/>
      <c r="J65" s="21"/>
    </row>
    <row r="66" spans="1:10" ht="14.25">
      <c r="A66" s="25" t="s">
        <v>160</v>
      </c>
      <c r="B66" s="23" t="s">
        <v>161</v>
      </c>
      <c r="C66" s="24">
        <f>D66*1.18</f>
        <v>5.47638</v>
      </c>
      <c r="D66" s="24">
        <f>4.42*1.05</f>
        <v>4.641</v>
      </c>
      <c r="E66" s="20"/>
      <c r="F66" s="22" t="s">
        <v>162</v>
      </c>
      <c r="G66" s="23" t="s">
        <v>163</v>
      </c>
      <c r="H66" s="24">
        <f>I66*1.18</f>
        <v>3.8285099999999996</v>
      </c>
      <c r="I66" s="24">
        <f>3.09*1.05</f>
        <v>3.2445</v>
      </c>
      <c r="J66" s="20">
        <v>200</v>
      </c>
    </row>
    <row r="67" spans="1:10" ht="14.25">
      <c r="A67" s="25" t="s">
        <v>164</v>
      </c>
      <c r="B67" s="26" t="s">
        <v>21</v>
      </c>
      <c r="C67" s="24">
        <f>D67*1.18</f>
        <v>57.15507</v>
      </c>
      <c r="D67" s="24">
        <f>46.13*1.05</f>
        <v>48.4365</v>
      </c>
      <c r="E67" s="20"/>
      <c r="F67" s="22" t="s">
        <v>165</v>
      </c>
      <c r="G67" s="23" t="s">
        <v>166</v>
      </c>
      <c r="H67" s="24">
        <f>I67*1.18</f>
        <v>13.85202</v>
      </c>
      <c r="I67" s="24">
        <f>11.18*1.05</f>
        <v>11.739</v>
      </c>
      <c r="J67" s="20">
        <v>100</v>
      </c>
    </row>
    <row r="68" spans="1:10" ht="14.25">
      <c r="A68" s="25" t="s">
        <v>167</v>
      </c>
      <c r="B68" s="23" t="s">
        <v>26</v>
      </c>
      <c r="C68" s="24">
        <f>D68*1.18</f>
        <v>68.47953</v>
      </c>
      <c r="D68" s="24">
        <f>55.27*1.05</f>
        <v>58.033500000000004</v>
      </c>
      <c r="E68" s="20">
        <v>100</v>
      </c>
      <c r="F68" s="22" t="s">
        <v>168</v>
      </c>
      <c r="G68" s="23" t="s">
        <v>166</v>
      </c>
      <c r="H68" s="24">
        <f>I68*1.18</f>
        <v>8.15262</v>
      </c>
      <c r="I68" s="24">
        <f>6.58*1.05</f>
        <v>6.909000000000001</v>
      </c>
      <c r="J68" s="20">
        <v>1000</v>
      </c>
    </row>
    <row r="69" spans="1:10" ht="14.25">
      <c r="A69" s="25" t="s">
        <v>169</v>
      </c>
      <c r="B69" s="26" t="s">
        <v>21</v>
      </c>
      <c r="C69" s="24">
        <f>D69*1.18</f>
        <v>2.34171</v>
      </c>
      <c r="D69" s="24">
        <f>1.89*1.05</f>
        <v>1.9845000000000002</v>
      </c>
      <c r="E69" s="20"/>
      <c r="F69" s="22" t="s">
        <v>170</v>
      </c>
      <c r="G69" s="23" t="s">
        <v>79</v>
      </c>
      <c r="H69" s="24">
        <f>I69*1.18</f>
        <v>3.9648000000000003</v>
      </c>
      <c r="I69" s="24">
        <f>3.2*1.05</f>
        <v>3.3600000000000003</v>
      </c>
      <c r="J69" s="20">
        <v>500</v>
      </c>
    </row>
    <row r="70" spans="1:10" ht="14.25">
      <c r="A70" s="37" t="s">
        <v>171</v>
      </c>
      <c r="B70" s="35" t="s">
        <v>121</v>
      </c>
      <c r="C70" s="24">
        <f>D70*1.18</f>
        <v>5.290529999999999</v>
      </c>
      <c r="D70" s="24">
        <f>4.27*1.05</f>
        <v>4.483499999999999</v>
      </c>
      <c r="E70" s="38">
        <v>1000</v>
      </c>
      <c r="F70" s="22" t="s">
        <v>172</v>
      </c>
      <c r="G70" s="23" t="s">
        <v>67</v>
      </c>
      <c r="H70" s="24">
        <f>I70*1.18</f>
        <v>14.806049999999999</v>
      </c>
      <c r="I70" s="24">
        <f>11.95*1.05</f>
        <v>12.5475</v>
      </c>
      <c r="J70" s="20">
        <v>500</v>
      </c>
    </row>
    <row r="71" spans="1:10" ht="14.25">
      <c r="A71" s="39" t="s">
        <v>173</v>
      </c>
      <c r="B71" s="39"/>
      <c r="C71" s="39"/>
      <c r="D71" s="39"/>
      <c r="E71" s="39"/>
      <c r="F71" s="22" t="s">
        <v>174</v>
      </c>
      <c r="G71" s="22" t="s">
        <v>175</v>
      </c>
      <c r="H71" s="24">
        <f>I71*1.18</f>
        <v>13.85202</v>
      </c>
      <c r="I71" s="24">
        <f>11.18*1.05</f>
        <v>11.739</v>
      </c>
      <c r="J71" s="20">
        <v>500</v>
      </c>
    </row>
    <row r="72" spans="1:10" ht="14.25">
      <c r="A72" s="40" t="s">
        <v>176</v>
      </c>
      <c r="B72" s="40"/>
      <c r="C72" s="40"/>
      <c r="D72" s="40"/>
      <c r="E72" s="40"/>
      <c r="F72" s="22" t="s">
        <v>177</v>
      </c>
      <c r="G72" s="22" t="s">
        <v>79</v>
      </c>
      <c r="H72" s="24">
        <f>I72*1.18</f>
        <v>8.66061</v>
      </c>
      <c r="I72" s="24">
        <f>6.99*1.05</f>
        <v>7.3395</v>
      </c>
      <c r="J72" s="20">
        <v>100</v>
      </c>
    </row>
    <row r="73" spans="1:10" ht="14.25">
      <c r="A73" s="22" t="s">
        <v>178</v>
      </c>
      <c r="B73" s="23" t="s">
        <v>179</v>
      </c>
      <c r="C73" s="24">
        <f>D73*1.18</f>
        <v>2.0815200000000003</v>
      </c>
      <c r="D73" s="24">
        <f>1.68*1.05</f>
        <v>1.7640000000000002</v>
      </c>
      <c r="E73" s="20">
        <v>1000</v>
      </c>
      <c r="F73" s="22" t="s">
        <v>180</v>
      </c>
      <c r="G73" s="23" t="s">
        <v>79</v>
      </c>
      <c r="H73" s="24">
        <f>I73*1.18</f>
        <v>11.98113</v>
      </c>
      <c r="I73" s="24">
        <f>9.67*1.05</f>
        <v>10.153500000000001</v>
      </c>
      <c r="J73" s="20">
        <v>200</v>
      </c>
    </row>
    <row r="74" spans="1:10" ht="14.25">
      <c r="A74" s="22" t="s">
        <v>181</v>
      </c>
      <c r="B74" s="23" t="s">
        <v>182</v>
      </c>
      <c r="C74" s="24">
        <f>D74*1.18</f>
        <v>1.57353</v>
      </c>
      <c r="D74" s="24">
        <f>1.27*1.05</f>
        <v>1.3335000000000001</v>
      </c>
      <c r="E74" s="20">
        <v>1000</v>
      </c>
      <c r="F74" s="22" t="s">
        <v>183</v>
      </c>
      <c r="G74" s="22" t="s">
        <v>79</v>
      </c>
      <c r="H74" s="24">
        <f>I74*1.18</f>
        <v>70.93275</v>
      </c>
      <c r="I74" s="24">
        <f>57.25*1.05</f>
        <v>60.112500000000004</v>
      </c>
      <c r="J74" s="20">
        <v>100</v>
      </c>
    </row>
    <row r="75" spans="1:10" ht="14.25">
      <c r="A75" s="22" t="s">
        <v>184</v>
      </c>
      <c r="B75" s="23" t="s">
        <v>185</v>
      </c>
      <c r="C75" s="24">
        <f>D75*1.18</f>
        <v>1.3752900000000001</v>
      </c>
      <c r="D75" s="24">
        <f>1.11*1.05</f>
        <v>1.1655000000000002</v>
      </c>
      <c r="E75" s="20">
        <v>1000</v>
      </c>
      <c r="F75" s="21" t="s">
        <v>186</v>
      </c>
      <c r="G75" s="21"/>
      <c r="H75" s="21"/>
      <c r="I75" s="21"/>
      <c r="J75" s="21"/>
    </row>
    <row r="76" spans="1:10" ht="14.25">
      <c r="A76" s="22" t="s">
        <v>187</v>
      </c>
      <c r="B76" s="23" t="s">
        <v>188</v>
      </c>
      <c r="C76" s="24">
        <f>D76*1.18</f>
        <v>1.57353</v>
      </c>
      <c r="D76" s="24">
        <f>1.27*1.05</f>
        <v>1.3335000000000001</v>
      </c>
      <c r="E76" s="20">
        <v>5000</v>
      </c>
      <c r="F76" s="22" t="s">
        <v>189</v>
      </c>
      <c r="G76" s="23" t="s">
        <v>190</v>
      </c>
      <c r="H76" s="24">
        <f>I76*1.18</f>
        <v>1024.25652</v>
      </c>
      <c r="I76" s="24">
        <f>826.68*1.05</f>
        <v>868.014</v>
      </c>
      <c r="J76" s="20">
        <v>10</v>
      </c>
    </row>
    <row r="77" spans="1:10" ht="14.25">
      <c r="A77" s="22" t="s">
        <v>191</v>
      </c>
      <c r="B77" s="23" t="s">
        <v>192</v>
      </c>
      <c r="C77" s="24">
        <f>D77*1.18</f>
        <v>47.490869999999994</v>
      </c>
      <c r="D77" s="24">
        <f>38.33*1.05</f>
        <v>40.2465</v>
      </c>
      <c r="E77" s="20">
        <v>100</v>
      </c>
      <c r="F77" s="19" t="s">
        <v>193</v>
      </c>
      <c r="G77" s="19"/>
      <c r="H77" s="19"/>
      <c r="I77" s="19"/>
      <c r="J77" s="19"/>
    </row>
    <row r="78" spans="1:10" ht="14.25">
      <c r="A78" s="21" t="s">
        <v>194</v>
      </c>
      <c r="B78" s="21"/>
      <c r="C78" s="21"/>
      <c r="D78" s="21"/>
      <c r="E78" s="21"/>
      <c r="F78" s="20" t="s">
        <v>195</v>
      </c>
      <c r="G78" s="20"/>
      <c r="H78" s="20"/>
      <c r="I78" s="20"/>
      <c r="J78" s="20"/>
    </row>
    <row r="79" spans="1:10" ht="14.25">
      <c r="A79" s="22" t="s">
        <v>196</v>
      </c>
      <c r="B79" s="23" t="s">
        <v>197</v>
      </c>
      <c r="C79" s="24">
        <f>D79*1.18</f>
        <v>1.3752900000000001</v>
      </c>
      <c r="D79" s="24">
        <f>1.11*1.05</f>
        <v>1.1655000000000002</v>
      </c>
      <c r="E79" s="20">
        <v>1000</v>
      </c>
      <c r="F79" s="22" t="s">
        <v>198</v>
      </c>
      <c r="G79" s="23" t="s">
        <v>199</v>
      </c>
      <c r="H79" s="24">
        <f>I79*1.18</f>
        <v>5.2038</v>
      </c>
      <c r="I79" s="24">
        <f>4.2*1.05</f>
        <v>4.41</v>
      </c>
      <c r="J79" s="20">
        <v>500</v>
      </c>
    </row>
    <row r="80" spans="1:10" ht="14.25">
      <c r="A80" s="22" t="s">
        <v>200</v>
      </c>
      <c r="B80" s="22" t="s">
        <v>201</v>
      </c>
      <c r="C80" s="24">
        <f>D80*1.18</f>
        <v>1.7346</v>
      </c>
      <c r="D80" s="33">
        <f>1.4*1.05</f>
        <v>1.47</v>
      </c>
      <c r="E80" s="20">
        <v>1000</v>
      </c>
      <c r="F80" s="19" t="s">
        <v>202</v>
      </c>
      <c r="G80" s="19"/>
      <c r="H80" s="19"/>
      <c r="I80" s="19"/>
      <c r="J80" s="19"/>
    </row>
    <row r="81" spans="1:10" ht="14.25">
      <c r="A81" s="22" t="s">
        <v>203</v>
      </c>
      <c r="B81" s="22" t="s">
        <v>204</v>
      </c>
      <c r="C81" s="24">
        <f>D81*1.18</f>
        <v>1.3752900000000001</v>
      </c>
      <c r="D81" s="33">
        <f>1.11*1.05</f>
        <v>1.1655000000000002</v>
      </c>
      <c r="E81" s="20">
        <v>1000</v>
      </c>
      <c r="F81" s="21" t="s">
        <v>205</v>
      </c>
      <c r="G81" s="21"/>
      <c r="H81" s="21"/>
      <c r="I81" s="21"/>
      <c r="J81" s="21"/>
    </row>
    <row r="82" spans="1:10" ht="14.25">
      <c r="A82" s="22" t="s">
        <v>206</v>
      </c>
      <c r="B82" s="22" t="s">
        <v>207</v>
      </c>
      <c r="C82" s="24">
        <f>D82*1.18</f>
        <v>2.0939099999999997</v>
      </c>
      <c r="D82" s="33">
        <f>1.69*1.05</f>
        <v>1.7745</v>
      </c>
      <c r="E82" s="20">
        <v>1000</v>
      </c>
      <c r="F82" s="22" t="s">
        <v>208</v>
      </c>
      <c r="G82" s="23" t="s">
        <v>67</v>
      </c>
      <c r="H82" s="24">
        <f>I82*1.18</f>
        <v>26.836740000000002</v>
      </c>
      <c r="I82" s="24">
        <f>21.66*1.05</f>
        <v>22.743000000000002</v>
      </c>
      <c r="J82" s="20">
        <v>200</v>
      </c>
    </row>
    <row r="83" spans="1:10" ht="14.25">
      <c r="A83" s="41" t="s">
        <v>209</v>
      </c>
      <c r="B83" s="22" t="s">
        <v>210</v>
      </c>
      <c r="C83" s="24">
        <v>4.19</v>
      </c>
      <c r="D83" s="33">
        <v>3.55</v>
      </c>
      <c r="E83" s="20">
        <v>1000</v>
      </c>
      <c r="F83" s="22" t="s">
        <v>211</v>
      </c>
      <c r="G83" s="23" t="s">
        <v>212</v>
      </c>
      <c r="H83" s="24">
        <f>I83*1.18</f>
        <v>25.98183</v>
      </c>
      <c r="I83" s="24">
        <f>20.97*1.05</f>
        <v>22.0185</v>
      </c>
      <c r="J83" s="20">
        <v>200</v>
      </c>
    </row>
    <row r="84" spans="1:10" ht="14.25">
      <c r="A84" s="22" t="s">
        <v>213</v>
      </c>
      <c r="B84" s="23" t="s">
        <v>214</v>
      </c>
      <c r="C84" s="24">
        <f>D84*1.18</f>
        <v>2.7629699999999997</v>
      </c>
      <c r="D84" s="24">
        <f>2.23*1.05</f>
        <v>2.3415</v>
      </c>
      <c r="E84" s="20">
        <v>500</v>
      </c>
      <c r="F84" s="22" t="s">
        <v>215</v>
      </c>
      <c r="G84" s="23" t="s">
        <v>67</v>
      </c>
      <c r="H84" s="24">
        <f>I84*1.18</f>
        <v>27.530579999999997</v>
      </c>
      <c r="I84" s="24">
        <f>22.22*1.05</f>
        <v>23.331</v>
      </c>
      <c r="J84" s="20">
        <v>400</v>
      </c>
    </row>
    <row r="85" spans="1:10" ht="14.25">
      <c r="A85" s="22" t="s">
        <v>216</v>
      </c>
      <c r="B85" s="23" t="s">
        <v>21</v>
      </c>
      <c r="C85" s="24">
        <f>D85*1.18</f>
        <v>1.4496299999999998</v>
      </c>
      <c r="D85" s="24">
        <f>1.17*1.05</f>
        <v>1.2285</v>
      </c>
      <c r="E85" s="20">
        <v>500</v>
      </c>
      <c r="F85" s="22" t="s">
        <v>217</v>
      </c>
      <c r="G85" s="23" t="s">
        <v>218</v>
      </c>
      <c r="H85" s="24">
        <f>I85*1.18</f>
        <v>24.259619999999995</v>
      </c>
      <c r="I85" s="24">
        <f>19.58*1.05</f>
        <v>20.558999999999997</v>
      </c>
      <c r="J85" s="20">
        <v>400</v>
      </c>
    </row>
    <row r="86" spans="1:10" ht="14.25">
      <c r="A86" s="22" t="s">
        <v>219</v>
      </c>
      <c r="B86" s="22" t="s">
        <v>220</v>
      </c>
      <c r="C86" s="24">
        <f>D86*1.18</f>
        <v>2.70102</v>
      </c>
      <c r="D86" s="20">
        <f>2.18*1.05</f>
        <v>2.289</v>
      </c>
      <c r="E86" s="20">
        <v>1000</v>
      </c>
      <c r="F86" s="22" t="s">
        <v>221</v>
      </c>
      <c r="G86" s="23" t="s">
        <v>67</v>
      </c>
      <c r="H86" s="24">
        <f>I86*1.18</f>
        <v>20.356769999999997</v>
      </c>
      <c r="I86" s="24">
        <f>16.43*1.05</f>
        <v>17.2515</v>
      </c>
      <c r="J86" s="20">
        <v>400</v>
      </c>
    </row>
    <row r="87" spans="1:10" ht="14.25">
      <c r="A87" s="42" t="s">
        <v>222</v>
      </c>
      <c r="B87" s="43" t="s">
        <v>223</v>
      </c>
      <c r="C87" s="44">
        <v>3.19</v>
      </c>
      <c r="D87" s="45">
        <v>2.7</v>
      </c>
      <c r="E87" s="44">
        <v>1000</v>
      </c>
      <c r="F87" s="22" t="s">
        <v>224</v>
      </c>
      <c r="G87" s="23" t="s">
        <v>225</v>
      </c>
      <c r="H87" s="24">
        <f>I87*1.18</f>
        <v>18.20091</v>
      </c>
      <c r="I87" s="24">
        <f>14.69*1.05</f>
        <v>15.4245</v>
      </c>
      <c r="J87" s="20">
        <v>400</v>
      </c>
    </row>
    <row r="88" spans="1:10" ht="14.25">
      <c r="A88" s="22" t="s">
        <v>226</v>
      </c>
      <c r="B88" s="23" t="s">
        <v>21</v>
      </c>
      <c r="C88" s="24">
        <f>D88*1.18</f>
        <v>1.7346</v>
      </c>
      <c r="D88" s="24">
        <f>1.4*1.05</f>
        <v>1.47</v>
      </c>
      <c r="E88" s="20">
        <v>2000</v>
      </c>
      <c r="F88" s="20" t="s">
        <v>227</v>
      </c>
      <c r="G88" s="20"/>
      <c r="H88" s="20"/>
      <c r="I88" s="20"/>
      <c r="J88" s="20"/>
    </row>
    <row r="89" spans="1:10" ht="14.25">
      <c r="A89" s="22" t="s">
        <v>228</v>
      </c>
      <c r="B89" s="23" t="s">
        <v>229</v>
      </c>
      <c r="C89" s="24">
        <v>2.42</v>
      </c>
      <c r="D89" s="24">
        <v>2.05</v>
      </c>
      <c r="E89" s="20">
        <v>2000</v>
      </c>
      <c r="F89" s="22" t="s">
        <v>230</v>
      </c>
      <c r="G89" s="23" t="s">
        <v>231</v>
      </c>
      <c r="H89" s="24">
        <f>I89*1.18</f>
        <v>43.278270000000006</v>
      </c>
      <c r="I89" s="24">
        <f>34.93*1.05</f>
        <v>36.676500000000004</v>
      </c>
      <c r="J89" s="20">
        <v>100</v>
      </c>
    </row>
    <row r="90" spans="1:10" ht="14.25">
      <c r="A90" s="22" t="s">
        <v>232</v>
      </c>
      <c r="B90" s="23" t="s">
        <v>233</v>
      </c>
      <c r="C90" s="24">
        <f>D90*1.18</f>
        <v>2.7629699999999997</v>
      </c>
      <c r="D90" s="24">
        <f>2.23*1.05</f>
        <v>2.3415</v>
      </c>
      <c r="E90" s="20">
        <v>1000</v>
      </c>
      <c r="F90" s="21" t="s">
        <v>234</v>
      </c>
      <c r="G90" s="21"/>
      <c r="H90" s="21"/>
      <c r="I90" s="21"/>
      <c r="J90" s="21"/>
    </row>
    <row r="91" spans="1:10" ht="14.25">
      <c r="A91" s="41" t="s">
        <v>235</v>
      </c>
      <c r="B91" s="29" t="s">
        <v>236</v>
      </c>
      <c r="C91" s="24">
        <v>2.95</v>
      </c>
      <c r="D91" s="24">
        <v>2.5</v>
      </c>
      <c r="E91" s="20">
        <v>1000</v>
      </c>
      <c r="F91" s="22" t="s">
        <v>237</v>
      </c>
      <c r="G91" s="23" t="s">
        <v>231</v>
      </c>
      <c r="H91" s="24">
        <f>I91*1.18</f>
        <v>16.09461</v>
      </c>
      <c r="I91" s="24">
        <f>12.99*1.05</f>
        <v>13.6395</v>
      </c>
      <c r="J91" s="20">
        <v>100</v>
      </c>
    </row>
    <row r="92" spans="1:10" ht="14.25">
      <c r="A92" s="22" t="s">
        <v>238</v>
      </c>
      <c r="B92" s="23" t="s">
        <v>239</v>
      </c>
      <c r="C92" s="24">
        <f>D92*1.18</f>
        <v>2.94882</v>
      </c>
      <c r="D92" s="24">
        <f>2.38*1.05</f>
        <v>2.499</v>
      </c>
      <c r="E92" s="20">
        <v>500</v>
      </c>
      <c r="F92" s="22" t="s">
        <v>240</v>
      </c>
      <c r="G92" s="23" t="s">
        <v>231</v>
      </c>
      <c r="H92" s="24">
        <f>I92*1.18</f>
        <v>9.58986</v>
      </c>
      <c r="I92" s="24">
        <f>7.74*1.05</f>
        <v>8.127</v>
      </c>
      <c r="J92" s="20">
        <v>100</v>
      </c>
    </row>
    <row r="93" spans="1:10" ht="14.25">
      <c r="A93" s="41" t="s">
        <v>241</v>
      </c>
      <c r="B93" s="29" t="s">
        <v>242</v>
      </c>
      <c r="C93" s="24">
        <v>3.84</v>
      </c>
      <c r="D93" s="24">
        <v>3.26</v>
      </c>
      <c r="E93" s="20">
        <v>1000</v>
      </c>
      <c r="F93" s="22" t="s">
        <v>243</v>
      </c>
      <c r="G93" s="23" t="s">
        <v>104</v>
      </c>
      <c r="H93" s="24">
        <f>I93*1.18</f>
        <v>17.32122</v>
      </c>
      <c r="I93" s="24">
        <f>13.98*1.05</f>
        <v>14.679</v>
      </c>
      <c r="J93" s="20">
        <v>100</v>
      </c>
    </row>
    <row r="94" spans="1:10" ht="14.25">
      <c r="A94" s="41" t="s">
        <v>244</v>
      </c>
      <c r="B94" s="29" t="s">
        <v>245</v>
      </c>
      <c r="C94" s="24">
        <v>3.3</v>
      </c>
      <c r="D94" s="24">
        <v>2.8</v>
      </c>
      <c r="E94" s="20">
        <v>1000</v>
      </c>
      <c r="F94" s="21" t="s">
        <v>246</v>
      </c>
      <c r="G94" s="21"/>
      <c r="H94" s="21"/>
      <c r="I94" s="21"/>
      <c r="J94" s="21"/>
    </row>
    <row r="95" spans="1:10" ht="14.25">
      <c r="A95" s="22" t="s">
        <v>247</v>
      </c>
      <c r="B95" s="22" t="s">
        <v>121</v>
      </c>
      <c r="C95" s="24">
        <f>D95*1.18</f>
        <v>1.90806</v>
      </c>
      <c r="D95" s="24">
        <f>1.54*1.05</f>
        <v>1.6170000000000002</v>
      </c>
      <c r="E95" s="20">
        <v>1000</v>
      </c>
      <c r="F95" s="22" t="s">
        <v>248</v>
      </c>
      <c r="G95" s="23" t="s">
        <v>67</v>
      </c>
      <c r="H95" s="24">
        <f>I95*1.18</f>
        <v>36.19119</v>
      </c>
      <c r="I95" s="24">
        <f>29.21*1.05</f>
        <v>30.6705</v>
      </c>
      <c r="J95" s="20">
        <v>150</v>
      </c>
    </row>
    <row r="96" spans="1:10" ht="14.25">
      <c r="A96" s="22" t="s">
        <v>249</v>
      </c>
      <c r="B96" s="22" t="s">
        <v>121</v>
      </c>
      <c r="C96" s="24">
        <v>1.89</v>
      </c>
      <c r="D96" s="24">
        <f>1.6*1.05</f>
        <v>1.6800000000000002</v>
      </c>
      <c r="E96" s="20"/>
      <c r="F96" s="22" t="s">
        <v>250</v>
      </c>
      <c r="G96" s="23" t="s">
        <v>251</v>
      </c>
      <c r="H96" s="24">
        <f>I96*1.18</f>
        <v>35.33628</v>
      </c>
      <c r="I96" s="24">
        <f>28.52*1.05</f>
        <v>29.946</v>
      </c>
      <c r="J96" s="20">
        <v>150</v>
      </c>
    </row>
    <row r="97" spans="1:10" ht="14.25">
      <c r="A97" s="22" t="s">
        <v>252</v>
      </c>
      <c r="B97" s="22" t="s">
        <v>253</v>
      </c>
      <c r="C97" s="24">
        <f>D97*1.18</f>
        <v>7.99155</v>
      </c>
      <c r="D97" s="33">
        <f>6.45*1.05</f>
        <v>6.772500000000001</v>
      </c>
      <c r="E97" s="20">
        <v>1000</v>
      </c>
      <c r="F97" s="21" t="s">
        <v>254</v>
      </c>
      <c r="G97" s="21"/>
      <c r="H97" s="21"/>
      <c r="I97" s="21"/>
      <c r="J97" s="21"/>
    </row>
    <row r="98" spans="1:10" ht="14.25">
      <c r="A98" s="22" t="s">
        <v>255</v>
      </c>
      <c r="B98" s="22" t="s">
        <v>256</v>
      </c>
      <c r="C98" s="24">
        <f>D98*1.18</f>
        <v>6.55431</v>
      </c>
      <c r="D98" s="20">
        <f>5.29*1.05</f>
        <v>5.5545</v>
      </c>
      <c r="E98" s="20">
        <v>1000</v>
      </c>
      <c r="F98" s="22" t="s">
        <v>257</v>
      </c>
      <c r="G98" s="23" t="s">
        <v>79</v>
      </c>
      <c r="H98" s="24">
        <f>I98*1.18</f>
        <v>19.34079</v>
      </c>
      <c r="I98" s="24">
        <f>15.61*1.05</f>
        <v>16.3905</v>
      </c>
      <c r="J98" s="20">
        <v>500</v>
      </c>
    </row>
    <row r="99" spans="1:10" ht="14.25">
      <c r="A99" s="21" t="s">
        <v>258</v>
      </c>
      <c r="B99" s="21"/>
      <c r="C99" s="21"/>
      <c r="D99" s="21"/>
      <c r="E99" s="21"/>
      <c r="F99" s="22" t="s">
        <v>259</v>
      </c>
      <c r="G99" s="23" t="s">
        <v>260</v>
      </c>
      <c r="H99" s="24">
        <f>I99*1.18</f>
        <v>3.30813</v>
      </c>
      <c r="I99" s="24">
        <f>2.67*1.05</f>
        <v>2.8035</v>
      </c>
      <c r="J99" s="20">
        <v>500</v>
      </c>
    </row>
    <row r="100" spans="1:10" ht="14.25">
      <c r="A100" s="22" t="s">
        <v>261</v>
      </c>
      <c r="B100" s="23" t="s">
        <v>262</v>
      </c>
      <c r="C100" s="24">
        <f>D100*1.18</f>
        <v>14.73171</v>
      </c>
      <c r="D100" s="24">
        <f>11.89*1.05</f>
        <v>12.4845</v>
      </c>
      <c r="E100" s="20">
        <v>500</v>
      </c>
      <c r="F100" s="22" t="s">
        <v>263</v>
      </c>
      <c r="G100" s="22" t="s">
        <v>121</v>
      </c>
      <c r="H100" s="24">
        <f>I100*1.18</f>
        <v>7.47117</v>
      </c>
      <c r="I100" s="24">
        <f>6.03*1.05</f>
        <v>6.3315</v>
      </c>
      <c r="J100" s="20">
        <v>500</v>
      </c>
    </row>
    <row r="101" spans="1:10" ht="14.25">
      <c r="A101" s="22" t="s">
        <v>264</v>
      </c>
      <c r="B101" s="23" t="s">
        <v>265</v>
      </c>
      <c r="C101" s="24">
        <f>D101*1.18</f>
        <v>15.25209</v>
      </c>
      <c r="D101" s="24">
        <f>12.31*1.05</f>
        <v>12.925500000000001</v>
      </c>
      <c r="E101" s="20">
        <v>500</v>
      </c>
      <c r="F101" s="22" t="s">
        <v>266</v>
      </c>
      <c r="G101" s="22" t="s">
        <v>121</v>
      </c>
      <c r="H101" s="24">
        <f>I101*1.18</f>
        <v>1.8585</v>
      </c>
      <c r="I101" s="24">
        <f>1.5*1.05</f>
        <v>1.5750000000000002</v>
      </c>
      <c r="J101" s="20">
        <v>500</v>
      </c>
    </row>
    <row r="102" spans="1:10" ht="14.25">
      <c r="A102" s="22" t="s">
        <v>267</v>
      </c>
      <c r="B102" s="23" t="s">
        <v>34</v>
      </c>
      <c r="C102" s="24">
        <f>D102*1.18</f>
        <v>18.44871</v>
      </c>
      <c r="D102" s="24">
        <f>14.89*1.05</f>
        <v>15.634500000000001</v>
      </c>
      <c r="E102" s="20">
        <v>100</v>
      </c>
      <c r="F102" s="22" t="s">
        <v>268</v>
      </c>
      <c r="G102" s="23" t="s">
        <v>79</v>
      </c>
      <c r="H102" s="24">
        <f>I102*1.18</f>
        <v>17.32122</v>
      </c>
      <c r="I102" s="24">
        <f>13.98*1.05</f>
        <v>14.679</v>
      </c>
      <c r="J102" s="20">
        <v>200</v>
      </c>
    </row>
    <row r="103" spans="1:10" ht="14.25">
      <c r="A103" s="21" t="s">
        <v>269</v>
      </c>
      <c r="B103" s="21"/>
      <c r="C103" s="21"/>
      <c r="D103" s="21"/>
      <c r="E103" s="21"/>
      <c r="F103" s="21" t="s">
        <v>270</v>
      </c>
      <c r="G103" s="21"/>
      <c r="H103" s="21"/>
      <c r="I103" s="21"/>
      <c r="J103" s="21"/>
    </row>
    <row r="104" spans="1:10" ht="14.25">
      <c r="A104" s="22" t="s">
        <v>271</v>
      </c>
      <c r="B104" s="30" t="s">
        <v>272</v>
      </c>
      <c r="C104" s="24">
        <f>D104*1.18</f>
        <v>4.3365</v>
      </c>
      <c r="D104" s="24">
        <f>3.5*1.05</f>
        <v>3.6750000000000003</v>
      </c>
      <c r="E104" s="20"/>
      <c r="F104" s="22" t="s">
        <v>273</v>
      </c>
      <c r="G104" s="23" t="s">
        <v>121</v>
      </c>
      <c r="H104" s="24">
        <f>I104*1.18</f>
        <v>0.9912000000000001</v>
      </c>
      <c r="I104" s="24">
        <f>0.8*1.05</f>
        <v>0.8400000000000001</v>
      </c>
      <c r="J104" s="20">
        <v>500</v>
      </c>
    </row>
    <row r="105" spans="1:10" ht="14.25">
      <c r="A105" s="22" t="s">
        <v>274</v>
      </c>
      <c r="B105" s="30" t="s">
        <v>275</v>
      </c>
      <c r="C105" s="24">
        <f>D105*1.18</f>
        <v>10.395210000000002</v>
      </c>
      <c r="D105" s="24">
        <f>8.39*1.05</f>
        <v>8.809500000000002</v>
      </c>
      <c r="E105" s="20">
        <v>500</v>
      </c>
      <c r="F105" s="22" t="s">
        <v>276</v>
      </c>
      <c r="G105" s="23" t="s">
        <v>150</v>
      </c>
      <c r="H105" s="24">
        <f>I105*1.18</f>
        <v>44.71551000000001</v>
      </c>
      <c r="I105" s="24">
        <f>36.09*1.05</f>
        <v>37.89450000000001</v>
      </c>
      <c r="J105" s="20">
        <v>100</v>
      </c>
    </row>
    <row r="106" spans="1:10" ht="14.25">
      <c r="A106" s="22" t="s">
        <v>277</v>
      </c>
      <c r="B106" s="23" t="s">
        <v>133</v>
      </c>
      <c r="C106" s="24">
        <f>D106*1.18</f>
        <v>49.34937</v>
      </c>
      <c r="D106" s="24">
        <f>39.83*1.05</f>
        <v>41.8215</v>
      </c>
      <c r="E106" s="20">
        <v>100</v>
      </c>
      <c r="F106" s="22" t="s">
        <v>278</v>
      </c>
      <c r="G106" s="23" t="s">
        <v>19</v>
      </c>
      <c r="H106" s="24">
        <f>I106*1.18</f>
        <v>13.95114</v>
      </c>
      <c r="I106" s="24">
        <f>11.26*1.05</f>
        <v>11.823</v>
      </c>
      <c r="J106" s="20">
        <v>200</v>
      </c>
    </row>
    <row r="107" spans="1:10" ht="14.25">
      <c r="A107" s="22" t="s">
        <v>279</v>
      </c>
      <c r="B107" s="23" t="s">
        <v>275</v>
      </c>
      <c r="C107" s="24">
        <f>D107*1.18</f>
        <v>26.303970000000003</v>
      </c>
      <c r="D107" s="24">
        <f>21.23*1.05</f>
        <v>22.291500000000003</v>
      </c>
      <c r="E107" s="20">
        <v>100</v>
      </c>
      <c r="F107" s="22" t="s">
        <v>280</v>
      </c>
      <c r="G107" s="23" t="s">
        <v>281</v>
      </c>
      <c r="H107" s="24">
        <f>I107*1.18</f>
        <v>2.83731</v>
      </c>
      <c r="I107" s="24">
        <f>2.29*1.05</f>
        <v>2.4045</v>
      </c>
      <c r="J107" s="20">
        <v>1000</v>
      </c>
    </row>
    <row r="108" spans="1:10" ht="14.25">
      <c r="A108" s="21" t="s">
        <v>282</v>
      </c>
      <c r="B108" s="21"/>
      <c r="C108" s="21"/>
      <c r="D108" s="21"/>
      <c r="E108" s="21"/>
      <c r="F108" s="22" t="s">
        <v>283</v>
      </c>
      <c r="G108" s="23" t="s">
        <v>150</v>
      </c>
      <c r="H108" s="24">
        <f>I108*1.18</f>
        <v>112.57554</v>
      </c>
      <c r="I108" s="24">
        <f>90.86*1.05</f>
        <v>95.403</v>
      </c>
      <c r="J108" s="20">
        <v>100</v>
      </c>
    </row>
    <row r="109" spans="1:10" ht="14.25">
      <c r="A109" s="36" t="s">
        <v>284</v>
      </c>
      <c r="B109" s="22" t="s">
        <v>26</v>
      </c>
      <c r="C109" s="24">
        <f>D109*1.18</f>
        <v>10.159799999999999</v>
      </c>
      <c r="D109" s="20">
        <f>8.2*1.05</f>
        <v>8.61</v>
      </c>
      <c r="E109" s="20">
        <v>100</v>
      </c>
      <c r="F109" s="22" t="s">
        <v>285</v>
      </c>
      <c r="G109" s="23" t="s">
        <v>286</v>
      </c>
      <c r="H109" s="24">
        <f>I109*1.18</f>
        <v>12.129809999999997</v>
      </c>
      <c r="I109" s="24">
        <f>9.79*1.05</f>
        <v>10.279499999999999</v>
      </c>
      <c r="J109" s="20">
        <v>300</v>
      </c>
    </row>
    <row r="110" spans="1:10" ht="14.25">
      <c r="A110" s="22" t="s">
        <v>287</v>
      </c>
      <c r="B110" s="23" t="s">
        <v>26</v>
      </c>
      <c r="C110" s="24">
        <f>D110*1.18</f>
        <v>10.13502</v>
      </c>
      <c r="D110" s="24">
        <f>8.18*1.05</f>
        <v>8.589</v>
      </c>
      <c r="E110" s="20">
        <v>1000</v>
      </c>
      <c r="F110" s="19" t="s">
        <v>288</v>
      </c>
      <c r="G110" s="19"/>
      <c r="H110" s="19"/>
      <c r="I110" s="19"/>
      <c r="J110" s="19"/>
    </row>
    <row r="111" spans="1:10" ht="14.25">
      <c r="A111" s="22" t="s">
        <v>289</v>
      </c>
      <c r="B111" s="23" t="s">
        <v>290</v>
      </c>
      <c r="C111" s="24">
        <f>D111*1.18</f>
        <v>4.3365</v>
      </c>
      <c r="D111" s="24">
        <f>3.5*1.05</f>
        <v>3.6750000000000003</v>
      </c>
      <c r="E111" s="20">
        <v>5000</v>
      </c>
      <c r="F111" s="21" t="s">
        <v>291</v>
      </c>
      <c r="G111" s="21"/>
      <c r="H111" s="21"/>
      <c r="I111" s="21"/>
      <c r="J111" s="21"/>
    </row>
    <row r="112" spans="1:10" ht="14.25">
      <c r="A112" s="22" t="s">
        <v>292</v>
      </c>
      <c r="B112" s="23" t="s">
        <v>139</v>
      </c>
      <c r="C112" s="24">
        <f>D112*1.18</f>
        <v>6.05871</v>
      </c>
      <c r="D112" s="24">
        <f>4.89*1.05</f>
        <v>5.1345</v>
      </c>
      <c r="E112" s="20">
        <v>1000</v>
      </c>
      <c r="F112" s="22" t="s">
        <v>293</v>
      </c>
      <c r="G112" s="23" t="s">
        <v>294</v>
      </c>
      <c r="H112" s="24">
        <f>I112*1.18</f>
        <v>60.711</v>
      </c>
      <c r="I112" s="22">
        <f>49*1.05</f>
        <v>51.45</v>
      </c>
      <c r="J112" s="20">
        <v>50</v>
      </c>
    </row>
    <row r="113" spans="1:10" ht="14.25">
      <c r="A113" s="21" t="s">
        <v>295</v>
      </c>
      <c r="B113" s="21"/>
      <c r="C113" s="21"/>
      <c r="D113" s="21"/>
      <c r="E113" s="21"/>
      <c r="F113" s="34" t="s">
        <v>296</v>
      </c>
      <c r="G113" s="34"/>
      <c r="H113" s="34"/>
      <c r="I113" s="34"/>
      <c r="J113" s="34"/>
    </row>
    <row r="114" spans="1:10" ht="14.25">
      <c r="A114" s="22" t="s">
        <v>297</v>
      </c>
      <c r="B114" s="30" t="s">
        <v>298</v>
      </c>
      <c r="C114" s="24">
        <f>D114*1.18</f>
        <v>25.98183</v>
      </c>
      <c r="D114" s="24">
        <f>20.97*1.05</f>
        <v>22.0185</v>
      </c>
      <c r="E114" s="20">
        <v>100</v>
      </c>
      <c r="F114" s="22" t="s">
        <v>299</v>
      </c>
      <c r="G114" s="23" t="s">
        <v>79</v>
      </c>
      <c r="H114" s="24">
        <f>I114*1.18</f>
        <v>13.85202</v>
      </c>
      <c r="I114" s="33">
        <f>11.18*1.05</f>
        <v>11.739</v>
      </c>
      <c r="J114" s="20">
        <v>100</v>
      </c>
    </row>
    <row r="115" spans="1:10" ht="14.25">
      <c r="A115" s="22" t="s">
        <v>300</v>
      </c>
      <c r="B115" s="30" t="s">
        <v>301</v>
      </c>
      <c r="C115" s="24">
        <f>D115*1.18</f>
        <v>25.98183</v>
      </c>
      <c r="D115" s="24">
        <f>20.97*1.05</f>
        <v>22.0185</v>
      </c>
      <c r="E115" s="20">
        <v>400</v>
      </c>
      <c r="F115" s="19" t="s">
        <v>302</v>
      </c>
      <c r="G115" s="19"/>
      <c r="H115" s="19"/>
      <c r="I115" s="19"/>
      <c r="J115" s="19"/>
    </row>
    <row r="116" spans="1:10" ht="14.25">
      <c r="A116" s="22" t="s">
        <v>303</v>
      </c>
      <c r="B116" s="30" t="s">
        <v>304</v>
      </c>
      <c r="C116" s="24">
        <f>D116*1.18</f>
        <v>8.66061</v>
      </c>
      <c r="D116" s="24">
        <f>6.99*1.05</f>
        <v>7.3395</v>
      </c>
      <c r="E116" s="20">
        <v>500</v>
      </c>
      <c r="F116" s="22" t="s">
        <v>305</v>
      </c>
      <c r="G116" s="23" t="s">
        <v>306</v>
      </c>
      <c r="H116" s="24">
        <f>I116*1.18</f>
        <v>51.96366</v>
      </c>
      <c r="I116" s="33">
        <f>41.94*1.05</f>
        <v>44.037</v>
      </c>
      <c r="J116" s="20">
        <v>100</v>
      </c>
    </row>
    <row r="117" spans="1:5" ht="14.25">
      <c r="A117" s="22" t="s">
        <v>307</v>
      </c>
      <c r="B117" s="23" t="s">
        <v>21</v>
      </c>
      <c r="C117" s="24">
        <f>D117*1.18</f>
        <v>6.05871</v>
      </c>
      <c r="D117" s="24">
        <f>4.89*1.05</f>
        <v>5.1345</v>
      </c>
      <c r="E117" s="20">
        <v>500</v>
      </c>
    </row>
    <row r="118" spans="1:5" ht="14.25">
      <c r="A118" s="21" t="s">
        <v>308</v>
      </c>
      <c r="B118" s="21"/>
      <c r="C118" s="21"/>
      <c r="D118" s="21"/>
      <c r="E118" s="21"/>
    </row>
    <row r="119" spans="1:5" ht="14.25">
      <c r="A119" s="22" t="s">
        <v>309</v>
      </c>
      <c r="B119" s="23" t="s">
        <v>21</v>
      </c>
      <c r="C119" s="24">
        <f>D119*1.18</f>
        <v>7.7189700000000006</v>
      </c>
      <c r="D119" s="24">
        <f>6.23*1.05</f>
        <v>6.541500000000001</v>
      </c>
      <c r="E119" s="20">
        <v>100</v>
      </c>
    </row>
    <row r="120" spans="1:9" ht="14.25">
      <c r="A120" s="22" t="s">
        <v>310</v>
      </c>
      <c r="B120" s="22" t="s">
        <v>311</v>
      </c>
      <c r="C120" s="24">
        <f>D120*1.18</f>
        <v>60.66144</v>
      </c>
      <c r="D120" s="33">
        <f>48.96*1.05</f>
        <v>51.408</v>
      </c>
      <c r="E120" s="20">
        <v>300</v>
      </c>
      <c r="F120" s="46" t="s">
        <v>312</v>
      </c>
      <c r="G120" s="46"/>
      <c r="H120" s="46"/>
      <c r="I120" s="46"/>
    </row>
    <row r="121" spans="1:9" ht="14.25">
      <c r="A121" s="21" t="s">
        <v>313</v>
      </c>
      <c r="B121" s="21"/>
      <c r="C121" s="21"/>
      <c r="D121" s="21"/>
      <c r="E121" s="21"/>
      <c r="F121" s="46" t="s">
        <v>314</v>
      </c>
      <c r="G121" s="46"/>
      <c r="H121" s="46"/>
      <c r="I121" s="46"/>
    </row>
    <row r="122" spans="1:9" ht="14.25">
      <c r="A122" s="22" t="s">
        <v>315</v>
      </c>
      <c r="B122" s="23" t="s">
        <v>316</v>
      </c>
      <c r="C122" s="24">
        <f>D122*1.18</f>
        <v>185.67654</v>
      </c>
      <c r="D122" s="24">
        <f>149.86*1.05</f>
        <v>157.353</v>
      </c>
      <c r="E122" s="20">
        <v>10</v>
      </c>
      <c r="F122" s="46" t="s">
        <v>317</v>
      </c>
      <c r="G122" s="46"/>
      <c r="H122" s="46"/>
      <c r="I122" s="46"/>
    </row>
    <row r="123" spans="1:10" ht="14.25">
      <c r="A123" s="22" t="s">
        <v>318</v>
      </c>
      <c r="B123" s="23" t="s">
        <v>166</v>
      </c>
      <c r="C123" s="24">
        <f>D123*1.18</f>
        <v>10.59345</v>
      </c>
      <c r="D123" s="24">
        <f>8.55*1.05</f>
        <v>8.977500000000001</v>
      </c>
      <c r="E123" s="20">
        <v>100</v>
      </c>
      <c r="F123" s="47"/>
      <c r="G123" s="48"/>
      <c r="H123" s="49"/>
      <c r="I123" s="50"/>
      <c r="J123" s="51"/>
    </row>
    <row r="124" spans="1:5" ht="14.25">
      <c r="A124" s="19" t="s">
        <v>319</v>
      </c>
      <c r="B124" s="19"/>
      <c r="C124" s="19"/>
      <c r="D124" s="19"/>
      <c r="E124" s="19"/>
    </row>
    <row r="125" spans="1:5" ht="14.25">
      <c r="A125" s="21" t="s">
        <v>320</v>
      </c>
      <c r="B125" s="21"/>
      <c r="C125" s="21"/>
      <c r="D125" s="21"/>
      <c r="E125" s="21"/>
    </row>
    <row r="126" spans="1:5" ht="14.25">
      <c r="A126" s="22" t="s">
        <v>321</v>
      </c>
      <c r="B126" s="23" t="s">
        <v>21</v>
      </c>
      <c r="C126" s="24">
        <f>D126*1.18</f>
        <v>2.8497</v>
      </c>
      <c r="D126" s="24">
        <f>2.3*1.05</f>
        <v>2.415</v>
      </c>
      <c r="E126" s="20">
        <v>500</v>
      </c>
    </row>
    <row r="127" ht="14.25">
      <c r="A127" s="52" t="s">
        <v>322</v>
      </c>
    </row>
    <row r="128" spans="1:2" ht="14.25">
      <c r="A128" s="53" t="s">
        <v>323</v>
      </c>
      <c r="B128" s="52" t="s">
        <v>324</v>
      </c>
    </row>
  </sheetData>
  <sheetProtection selectLockedCells="1" selectUnlockedCells="1"/>
  <mergeCells count="51">
    <mergeCell ref="B2:N2"/>
    <mergeCell ref="B3:M3"/>
    <mergeCell ref="B4:H4"/>
    <mergeCell ref="C5:G5"/>
    <mergeCell ref="A7:F7"/>
    <mergeCell ref="A11:E11"/>
    <mergeCell ref="F11:J11"/>
    <mergeCell ref="A12:E12"/>
    <mergeCell ref="F16:J16"/>
    <mergeCell ref="A17:E17"/>
    <mergeCell ref="F24:J24"/>
    <mergeCell ref="F27:J27"/>
    <mergeCell ref="A31:E31"/>
    <mergeCell ref="F36:J36"/>
    <mergeCell ref="F37:J37"/>
    <mergeCell ref="A43:E43"/>
    <mergeCell ref="A46:E46"/>
    <mergeCell ref="F46:J46"/>
    <mergeCell ref="F48:J48"/>
    <mergeCell ref="A49:E49"/>
    <mergeCell ref="A52:E52"/>
    <mergeCell ref="A58:E58"/>
    <mergeCell ref="A60:E60"/>
    <mergeCell ref="F60:J60"/>
    <mergeCell ref="F63:J63"/>
    <mergeCell ref="F65:J65"/>
    <mergeCell ref="A71:E71"/>
    <mergeCell ref="A72:E72"/>
    <mergeCell ref="F75:J75"/>
    <mergeCell ref="F77:J77"/>
    <mergeCell ref="A78:E78"/>
    <mergeCell ref="F78:J78"/>
    <mergeCell ref="F80:J80"/>
    <mergeCell ref="F81:J81"/>
    <mergeCell ref="F88:J88"/>
    <mergeCell ref="F90:J90"/>
    <mergeCell ref="F94:J94"/>
    <mergeCell ref="F97:J97"/>
    <mergeCell ref="A99:E99"/>
    <mergeCell ref="A103:E103"/>
    <mergeCell ref="F103:J103"/>
    <mergeCell ref="A108:E108"/>
    <mergeCell ref="F110:J110"/>
    <mergeCell ref="F111:J111"/>
    <mergeCell ref="A113:E113"/>
    <mergeCell ref="F113:J113"/>
    <mergeCell ref="F115:J115"/>
    <mergeCell ref="A118:E118"/>
    <mergeCell ref="A121:E121"/>
    <mergeCell ref="A124:E124"/>
    <mergeCell ref="A125:E125"/>
  </mergeCells>
  <printOptions/>
  <pageMargins left="0.18958333333333333" right="0.12430555555555556" top="0.2076388888888889" bottom="0.5770833333333333" header="0.5118055555555555" footer="0.5118055555555555"/>
  <pageSetup horizontalDpi="300" verticalDpi="300" orientation="portrait" paperSize="9" scale="76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2014-08-12T05:10:31Z</cp:lastPrinted>
  <dcterms:modified xsi:type="dcterms:W3CDTF">2014-09-23T06:37:43Z</dcterms:modified>
  <cp:category/>
  <cp:version/>
  <cp:contentType/>
  <cp:contentStatus/>
  <cp:revision>23</cp:revision>
</cp:coreProperties>
</file>